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-02-21-MSKVS-Sarka\KVS\KOMISE\KOMISE HOSPODÁŘSKÁ(HK)\"/>
    </mc:Choice>
  </mc:AlternateContent>
  <xr:revisionPtr revIDLastSave="0" documentId="13_ncr:1_{05F78A8D-C9BE-4104-B3E3-6F0F239771F9}" xr6:coauthVersionLast="36" xr6:coauthVersionMax="46" xr10:uidLastSave="{00000000-0000-0000-0000-000000000000}"/>
  <bookViews>
    <workbookView xWindow="0" yWindow="0" windowWidth="23040" windowHeight="9060" activeTab="6" xr2:uid="{00000000-000D-0000-FFFF-FFFF00000000}"/>
  </bookViews>
  <sheets>
    <sheet name="2015" sheetId="2" r:id="rId1"/>
    <sheet name="2016" sheetId="3" r:id="rId2"/>
    <sheet name="2017" sheetId="6" r:id="rId3"/>
    <sheet name="2018" sheetId="8" r:id="rId4"/>
    <sheet name="2019" sheetId="9" r:id="rId5"/>
    <sheet name="2020" sheetId="10" r:id="rId6"/>
    <sheet name="2021" sheetId="12" r:id="rId7"/>
    <sheet name="Info rozdělení od 2019" sheetId="11" r:id="rId8"/>
    <sheet name="Info rozdělení" sheetId="1" r:id="rId9"/>
  </sheets>
  <calcPr calcId="191029"/>
</workbook>
</file>

<file path=xl/calcChain.xml><?xml version="1.0" encoding="utf-8"?>
<calcChain xmlns="http://schemas.openxmlformats.org/spreadsheetml/2006/main">
  <c r="F33" i="12" l="1"/>
  <c r="F32" i="12"/>
  <c r="F31" i="12"/>
  <c r="F30" i="12"/>
  <c r="F29" i="12"/>
  <c r="F28" i="12"/>
  <c r="F27" i="12"/>
  <c r="F26" i="12"/>
  <c r="D26" i="12"/>
  <c r="E25" i="12"/>
  <c r="E35" i="12" s="1"/>
  <c r="E4" i="12" s="1"/>
  <c r="E7" i="12" s="1"/>
  <c r="D25" i="12"/>
  <c r="D35" i="12" s="1"/>
  <c r="F24" i="12"/>
  <c r="F23" i="12"/>
  <c r="F22" i="12"/>
  <c r="F21" i="12"/>
  <c r="F20" i="12"/>
  <c r="F19" i="12"/>
  <c r="F18" i="12"/>
  <c r="F17" i="12"/>
  <c r="F16" i="12"/>
  <c r="F15" i="12"/>
  <c r="F14" i="12"/>
  <c r="F13" i="12"/>
  <c r="E5" i="12"/>
  <c r="D5" i="12"/>
  <c r="F5" i="12" s="1"/>
  <c r="G3" i="12"/>
  <c r="F35" i="12" l="1"/>
  <c r="D4" i="12"/>
  <c r="F25" i="12"/>
  <c r="F13" i="10"/>
  <c r="F14" i="10"/>
  <c r="F27" i="10"/>
  <c r="G27" i="10" s="1"/>
  <c r="F17" i="10"/>
  <c r="E26" i="10"/>
  <c r="G26" i="10" s="1"/>
  <c r="F19" i="10"/>
  <c r="F18" i="10"/>
  <c r="G18" i="10"/>
  <c r="E17" i="10"/>
  <c r="F20" i="10"/>
  <c r="E20" i="10"/>
  <c r="H3" i="10"/>
  <c r="G33" i="10"/>
  <c r="G32" i="10"/>
  <c r="G31" i="10"/>
  <c r="G30" i="10"/>
  <c r="G29" i="10"/>
  <c r="G28" i="10"/>
  <c r="G24" i="10"/>
  <c r="G23" i="10"/>
  <c r="G22" i="10"/>
  <c r="G21" i="10"/>
  <c r="G20" i="10"/>
  <c r="G19" i="10"/>
  <c r="G17" i="10"/>
  <c r="G16" i="10"/>
  <c r="G15" i="10"/>
  <c r="G14" i="10"/>
  <c r="E5" i="10"/>
  <c r="F13" i="9"/>
  <c r="E26" i="9"/>
  <c r="E14" i="9"/>
  <c r="F14" i="9"/>
  <c r="F27" i="9"/>
  <c r="E13" i="9"/>
  <c r="F18" i="9"/>
  <c r="F19" i="9"/>
  <c r="F15" i="9"/>
  <c r="E15" i="9"/>
  <c r="F17" i="9"/>
  <c r="E20" i="9"/>
  <c r="F20" i="9"/>
  <c r="F4" i="12" l="1"/>
  <c r="G4" i="12" s="1"/>
  <c r="G7" i="12" s="1"/>
  <c r="D7" i="12"/>
  <c r="F7" i="12" s="1"/>
  <c r="F5" i="10"/>
  <c r="G5" i="10" s="1"/>
  <c r="F25" i="10"/>
  <c r="F35" i="10" s="1"/>
  <c r="F4" i="10" s="1"/>
  <c r="F7" i="10" s="1"/>
  <c r="G13" i="10"/>
  <c r="E25" i="10"/>
  <c r="E35" i="9"/>
  <c r="H3" i="9"/>
  <c r="E25" i="9"/>
  <c r="F25" i="9"/>
  <c r="F35" i="9" s="1"/>
  <c r="G33" i="9"/>
  <c r="G32" i="9"/>
  <c r="G31" i="9"/>
  <c r="G30" i="9"/>
  <c r="G29" i="9"/>
  <c r="G28" i="9"/>
  <c r="G27" i="9"/>
  <c r="G26" i="9"/>
  <c r="G24" i="9"/>
  <c r="G23" i="9"/>
  <c r="G22" i="9"/>
  <c r="G21" i="9"/>
  <c r="G20" i="9"/>
  <c r="G19" i="9"/>
  <c r="G18" i="9"/>
  <c r="G17" i="9"/>
  <c r="G16" i="9"/>
  <c r="G15" i="9"/>
  <c r="G14" i="9"/>
  <c r="G13" i="9"/>
  <c r="E5" i="9"/>
  <c r="F5" i="9"/>
  <c r="F18" i="8"/>
  <c r="G18" i="8" s="1"/>
  <c r="F17" i="8"/>
  <c r="G17" i="8" s="1"/>
  <c r="F31" i="8"/>
  <c r="E31" i="8"/>
  <c r="E5" i="8" s="1"/>
  <c r="G5" i="8" s="1"/>
  <c r="F13" i="8"/>
  <c r="F26" i="8" s="1"/>
  <c r="F36" i="8" s="1"/>
  <c r="F4" i="8" s="1"/>
  <c r="F7" i="8" s="1"/>
  <c r="E16" i="8"/>
  <c r="E14" i="8"/>
  <c r="F14" i="8"/>
  <c r="E13" i="8"/>
  <c r="E26" i="8" s="1"/>
  <c r="E15" i="8"/>
  <c r="F15" i="8"/>
  <c r="G15" i="8" s="1"/>
  <c r="F29" i="8"/>
  <c r="G29" i="8" s="1"/>
  <c r="F30" i="8"/>
  <c r="G30" i="8" s="1"/>
  <c r="E30" i="8"/>
  <c r="E21" i="8"/>
  <c r="F21" i="8"/>
  <c r="F24" i="8"/>
  <c r="G24" i="8" s="1"/>
  <c r="F20" i="8"/>
  <c r="F19" i="8"/>
  <c r="G19" i="8" s="1"/>
  <c r="F23" i="8"/>
  <c r="G23" i="8" s="1"/>
  <c r="G14" i="8"/>
  <c r="G34" i="8"/>
  <c r="G33" i="8"/>
  <c r="G32" i="8"/>
  <c r="G28" i="8"/>
  <c r="G27" i="8"/>
  <c r="G25" i="8"/>
  <c r="G22" i="8"/>
  <c r="G20" i="8"/>
  <c r="G16" i="8"/>
  <c r="F5" i="8"/>
  <c r="G21" i="8"/>
  <c r="F4" i="6"/>
  <c r="G4" i="6"/>
  <c r="F34" i="6"/>
  <c r="F11" i="6"/>
  <c r="G11" i="6"/>
  <c r="F10" i="6"/>
  <c r="G10" i="6" s="1"/>
  <c r="F9" i="6"/>
  <c r="G9" i="6"/>
  <c r="F8" i="6"/>
  <c r="G8" i="6" s="1"/>
  <c r="F7" i="6"/>
  <c r="G7" i="6"/>
  <c r="G6" i="6"/>
  <c r="G3" i="6"/>
  <c r="D33" i="6"/>
  <c r="D35" i="6"/>
  <c r="F35" i="6" s="1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33" i="6" s="1"/>
  <c r="E13" i="6"/>
  <c r="D13" i="6"/>
  <c r="F13" i="6" s="1"/>
  <c r="E12" i="6"/>
  <c r="D12" i="6"/>
  <c r="F6" i="6"/>
  <c r="E33" i="6"/>
  <c r="E35" i="6"/>
  <c r="E12" i="3"/>
  <c r="E13" i="3"/>
  <c r="D13" i="3"/>
  <c r="F13" i="3" s="1"/>
  <c r="D12" i="3"/>
  <c r="E19" i="3"/>
  <c r="F19" i="3"/>
  <c r="F33" i="3" s="1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D33" i="3"/>
  <c r="E33" i="3"/>
  <c r="G11" i="3"/>
  <c r="F11" i="3"/>
  <c r="F10" i="3"/>
  <c r="F9" i="3"/>
  <c r="F8" i="3"/>
  <c r="F7" i="3"/>
  <c r="F6" i="3"/>
  <c r="F12" i="3" s="1"/>
  <c r="G6" i="3"/>
  <c r="G13" i="3" s="1"/>
  <c r="F4" i="3"/>
  <c r="H11" i="2"/>
  <c r="H7" i="2"/>
  <c r="H4" i="2"/>
  <c r="I4" i="2"/>
  <c r="E13" i="2"/>
  <c r="D13" i="2"/>
  <c r="F13" i="2" s="1"/>
  <c r="D19" i="2"/>
  <c r="F19" i="2" s="1"/>
  <c r="D21" i="2"/>
  <c r="F21" i="2"/>
  <c r="D22" i="2"/>
  <c r="F22" i="2"/>
  <c r="F32" i="2"/>
  <c r="F31" i="2"/>
  <c r="F30" i="2"/>
  <c r="F29" i="2"/>
  <c r="F28" i="2"/>
  <c r="F27" i="2"/>
  <c r="F26" i="2"/>
  <c r="F25" i="2"/>
  <c r="F24" i="2"/>
  <c r="F23" i="2"/>
  <c r="F20" i="2"/>
  <c r="F11" i="2"/>
  <c r="G11" i="2" s="1"/>
  <c r="F10" i="2"/>
  <c r="G10" i="2"/>
  <c r="F9" i="2"/>
  <c r="G9" i="2"/>
  <c r="F7" i="2"/>
  <c r="G7" i="2"/>
  <c r="F6" i="2"/>
  <c r="G6" i="2" s="1"/>
  <c r="F8" i="2"/>
  <c r="G8" i="2"/>
  <c r="F4" i="2"/>
  <c r="E35" i="10" l="1"/>
  <c r="G25" i="10"/>
  <c r="G5" i="9"/>
  <c r="G13" i="6"/>
  <c r="G26" i="8"/>
  <c r="E36" i="8"/>
  <c r="G13" i="2"/>
  <c r="I13" i="2" s="1"/>
  <c r="I6" i="2"/>
  <c r="G13" i="8"/>
  <c r="F12" i="6"/>
  <c r="F4" i="9"/>
  <c r="F7" i="9" s="1"/>
  <c r="G31" i="8"/>
  <c r="E4" i="9"/>
  <c r="G25" i="9"/>
  <c r="G35" i="10" l="1"/>
  <c r="E4" i="10"/>
  <c r="G35" i="9"/>
  <c r="E7" i="9"/>
  <c r="G7" i="9" s="1"/>
  <c r="G4" i="9"/>
  <c r="H4" i="9" s="1"/>
  <c r="H7" i="9" s="1"/>
  <c r="E4" i="8"/>
  <c r="G36" i="8"/>
  <c r="E7" i="10" l="1"/>
  <c r="G7" i="10" s="1"/>
  <c r="G4" i="10"/>
  <c r="H4" i="10" s="1"/>
  <c r="H7" i="10" s="1"/>
  <c r="G4" i="8"/>
  <c r="H4" i="8" s="1"/>
  <c r="H7" i="8" s="1"/>
  <c r="E7" i="8"/>
  <c r="G7" i="8" s="1"/>
</calcChain>
</file>

<file path=xl/sharedStrings.xml><?xml version="1.0" encoding="utf-8"?>
<sst xmlns="http://schemas.openxmlformats.org/spreadsheetml/2006/main" count="611" uniqueCount="154">
  <si>
    <t>Účtovací střediska MS KVS</t>
  </si>
  <si>
    <t>Středisko</t>
  </si>
  <si>
    <t>MS KVS</t>
  </si>
  <si>
    <t>Název střediska</t>
  </si>
  <si>
    <t>OVS Bruntál</t>
  </si>
  <si>
    <t>OVS Frýdek - Místek</t>
  </si>
  <si>
    <t>OVS Karviná</t>
  </si>
  <si>
    <t>OVS Nový Jičín</t>
  </si>
  <si>
    <t>OVS Opava</t>
  </si>
  <si>
    <t>OVS Ostrava</t>
  </si>
  <si>
    <t>Správa MS KVS</t>
  </si>
  <si>
    <t>Komise hospodářská - HK</t>
  </si>
  <si>
    <t>Komise Sportovně technická - STK</t>
  </si>
  <si>
    <t>Komise rozhodčích - KR</t>
  </si>
  <si>
    <t>Komise společenského významu - SVK</t>
  </si>
  <si>
    <t>Komise disciplinární - DK</t>
  </si>
  <si>
    <t>Komise kontrolní a revizní - KKR</t>
  </si>
  <si>
    <t>Komise Beachvolejbalu - BK</t>
  </si>
  <si>
    <t>Komise trenérskometodická - TMK</t>
  </si>
  <si>
    <t>Komise mládeže chlapci - KMCH</t>
  </si>
  <si>
    <t>Komise mládeže dívky - KMD</t>
  </si>
  <si>
    <t>Barevný minivolejbal - BMV</t>
  </si>
  <si>
    <t>Predikované</t>
  </si>
  <si>
    <t>výdaje 2015</t>
  </si>
  <si>
    <t>Zakázka</t>
  </si>
  <si>
    <t>Název zakázky</t>
  </si>
  <si>
    <t>Krajské volej.centrum mládeže chlapci - KVCMCH</t>
  </si>
  <si>
    <t>Krajské volej.centrum mládeže dívky - KVCMD</t>
  </si>
  <si>
    <t xml:space="preserve">( 501011 spotř.mat., 501040 spotř.drob.prop., 501041 kanc.potř., </t>
  </si>
  <si>
    <t xml:space="preserve">512010 cest.P MSKVS, konference, ostatní služby, bank. výlohy a popl., </t>
  </si>
  <si>
    <t>DPP, odměny, náklady na repre, 601 tržby za vl.výrobky, 644 úroky,</t>
  </si>
  <si>
    <t>681001 přísp.na financ., 684060 ost.přij.čl.přísp.)</t>
  </si>
  <si>
    <t>(501080 medaile, poháry, cestovné, schůzovné, DPP, 602010 vklady</t>
  </si>
  <si>
    <t>do mistr.sout., 642 pokuty a penále)</t>
  </si>
  <si>
    <t xml:space="preserve">(512013 cestovné, školení, semináře, 518 pronájem školení, 521 DPP, </t>
  </si>
  <si>
    <t>549080 odměny rozh., komis., 602003 Školení, sem.rozh. )</t>
  </si>
  <si>
    <t xml:space="preserve">(501031 odb.liter., 512013 cestovné, školení, semináře, </t>
  </si>
  <si>
    <t>518 pronájem školení, 521 DPP, 602003 Školení, sem.tren. )</t>
  </si>
  <si>
    <t>(náklady na turnaje a akce mládeže chlapců kromě KVCM)</t>
  </si>
  <si>
    <t>(náklady na turnaje a akce mládeže dívek kromě KVCM)</t>
  </si>
  <si>
    <t>Skutečné</t>
  </si>
  <si>
    <t>příjmy 2015</t>
  </si>
  <si>
    <t>MD</t>
  </si>
  <si>
    <t>D</t>
  </si>
  <si>
    <t>Hospodářský</t>
  </si>
  <si>
    <t>zisk 2015</t>
  </si>
  <si>
    <t>Zůstatek</t>
  </si>
  <si>
    <t xml:space="preserve"> </t>
  </si>
  <si>
    <t>MS KVS včetně OVS</t>
  </si>
  <si>
    <t>k 31.12.2015</t>
  </si>
  <si>
    <t>Půjčka ČVS</t>
  </si>
  <si>
    <t>k 17.12.2015</t>
  </si>
  <si>
    <t>Celkem</t>
  </si>
  <si>
    <t>LP,SP,popl.</t>
  </si>
  <si>
    <t>vis k 4.2.2016</t>
  </si>
  <si>
    <t>dotace MS KVS na ml.kluby</t>
  </si>
  <si>
    <t>dotace FM OVS na ml.kluby</t>
  </si>
  <si>
    <t>dotace MS KVS na OVS</t>
  </si>
  <si>
    <t>SP družstev</t>
  </si>
  <si>
    <t>Poplatky, pokuty STK</t>
  </si>
  <si>
    <t>LP jednotlivců</t>
  </si>
  <si>
    <t>dotace ČVS na MS KVS</t>
  </si>
  <si>
    <t>příjmy 2016</t>
  </si>
  <si>
    <t>výdaje 2016</t>
  </si>
  <si>
    <t>zisk 2016</t>
  </si>
  <si>
    <t>k 31.12.2016</t>
  </si>
  <si>
    <t>MěVS Ostrava</t>
  </si>
  <si>
    <t>příjmy 2017</t>
  </si>
  <si>
    <t>výdaje 2017</t>
  </si>
  <si>
    <t>zisk 2017</t>
  </si>
  <si>
    <t>příjmy 2018</t>
  </si>
  <si>
    <t>výdaje 2018</t>
  </si>
  <si>
    <t>zisk 2018</t>
  </si>
  <si>
    <t>k 31.12.2018</t>
  </si>
  <si>
    <t>k 1.1.2017</t>
  </si>
  <si>
    <t>jen OVS</t>
  </si>
  <si>
    <t>Komise celkem</t>
  </si>
  <si>
    <t>Zakázka MS KVS bez komisí vč.OVS</t>
  </si>
  <si>
    <t>k 31.12.2017</t>
  </si>
  <si>
    <t>k 1.1.2018</t>
  </si>
  <si>
    <t>Komise barevného minivolejbalu - KBMV</t>
  </si>
  <si>
    <t>1808,09,10</t>
  </si>
  <si>
    <t>1802,10</t>
  </si>
  <si>
    <t>1801,02,07</t>
  </si>
  <si>
    <t>1807</t>
  </si>
  <si>
    <t>1801,02</t>
  </si>
  <si>
    <t>Komise společenského významu - KSV</t>
  </si>
  <si>
    <t>1802</t>
  </si>
  <si>
    <t>1801,02,05,06,09</t>
  </si>
  <si>
    <t>K OVS</t>
  </si>
  <si>
    <t>1802,03</t>
  </si>
  <si>
    <t>OVS Frýdek Místek</t>
  </si>
  <si>
    <t>100-860</t>
  </si>
  <si>
    <t>800-860</t>
  </si>
  <si>
    <t>MS KVS včetně OVS celkem</t>
  </si>
  <si>
    <t>OVS celkem</t>
  </si>
  <si>
    <t>Kraj.centrum ml.dívky - KCMD (KVA)</t>
  </si>
  <si>
    <t>Kraj.centrum ml.chlapci - KCMCH (KVA)</t>
  </si>
  <si>
    <t>Komise hospodář. a disciplinární - HK a DK</t>
  </si>
  <si>
    <t>Dotace ČVS, MSK, ČUS</t>
  </si>
  <si>
    <t>zisk 2019</t>
  </si>
  <si>
    <t>k 1.1.2019</t>
  </si>
  <si>
    <t>K OVS trojky, čtverky, šestky</t>
  </si>
  <si>
    <t>Dotace ČVS, MSK, ČUS, Dary</t>
  </si>
  <si>
    <t>k 31.12.2019</t>
  </si>
  <si>
    <t>náklady 2019</t>
  </si>
  <si>
    <t>výnosy 2019</t>
  </si>
  <si>
    <t>Komise mládeže - KM</t>
  </si>
  <si>
    <t xml:space="preserve">Kraj.volej.akad.chlapci - KVA-CH </t>
  </si>
  <si>
    <t xml:space="preserve">Kraj.volej.akad.dívky - KVA-D </t>
  </si>
  <si>
    <t>Komise Beachvolejbalu - BV</t>
  </si>
  <si>
    <t>výnosy 2020</t>
  </si>
  <si>
    <t>náklady 2020</t>
  </si>
  <si>
    <t>zisk 2020</t>
  </si>
  <si>
    <t>k 1.1.2020</t>
  </si>
  <si>
    <t>k 31.12.2020</t>
  </si>
  <si>
    <t>Dotace ČVS, MSK, MŠMT, ČUS, Dary</t>
  </si>
  <si>
    <t>1902,03</t>
  </si>
  <si>
    <t>1902,04</t>
  </si>
  <si>
    <t>1902,10</t>
  </si>
  <si>
    <t>1901,02,05,06,09</t>
  </si>
  <si>
    <t>1902</t>
  </si>
  <si>
    <t>1901,02,07</t>
  </si>
  <si>
    <t>1907</t>
  </si>
  <si>
    <t>1908,09,10</t>
  </si>
  <si>
    <t>1901,02</t>
  </si>
  <si>
    <t xml:space="preserve">výdaje </t>
  </si>
  <si>
    <t>Účtovací střediska, zakázky a činnosti MS KVS</t>
  </si>
  <si>
    <t xml:space="preserve"> 1901, 1903, 1906,  1909</t>
  </si>
  <si>
    <t>1901, 1908, 1909</t>
  </si>
  <si>
    <t>Činnosti</t>
  </si>
  <si>
    <t>MSKVS</t>
  </si>
  <si>
    <t>KVS</t>
  </si>
  <si>
    <t>HK</t>
  </si>
  <si>
    <t>STK</t>
  </si>
  <si>
    <t>KR</t>
  </si>
  <si>
    <t>BV</t>
  </si>
  <si>
    <t>TMK</t>
  </si>
  <si>
    <t>KSV</t>
  </si>
  <si>
    <t>KVA-CH</t>
  </si>
  <si>
    <t>KVA</t>
  </si>
  <si>
    <t>KVA-D</t>
  </si>
  <si>
    <t>BMV</t>
  </si>
  <si>
    <t>výnosy 2021</t>
  </si>
  <si>
    <t>náklady 2021</t>
  </si>
  <si>
    <t>zisk 2021</t>
  </si>
  <si>
    <t>k 1.1.2021</t>
  </si>
  <si>
    <t>k 31.12.2021</t>
  </si>
  <si>
    <t>1902,04,06</t>
  </si>
  <si>
    <t>1902,06,10</t>
  </si>
  <si>
    <t>1902,06,11</t>
  </si>
  <si>
    <t>1902,06</t>
  </si>
  <si>
    <t>1901,02,05,06,07,08,09</t>
  </si>
  <si>
    <t>1903,1906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</si>
</sst>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15" xfId="0" applyNumberFormat="1" applyBorder="1"/>
    <xf numFmtId="3" fontId="0" fillId="0" borderId="0" xfId="0" applyNumberFormat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3" fontId="2" fillId="0" borderId="15" xfId="0" applyNumberFormat="1" applyFont="1" applyBorder="1"/>
    <xf numFmtId="0" fontId="2" fillId="0" borderId="0" xfId="0" applyFont="1"/>
    <xf numFmtId="3" fontId="2" fillId="0" borderId="16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9" xfId="0" applyNumberFormat="1" applyFont="1" applyBorder="1"/>
    <xf numFmtId="3" fontId="2" fillId="0" borderId="11" xfId="0" applyNumberFormat="1" applyFont="1" applyBorder="1"/>
    <xf numFmtId="3" fontId="2" fillId="0" borderId="14" xfId="0" applyNumberFormat="1" applyFont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3" fontId="2" fillId="0" borderId="6" xfId="0" applyNumberFormat="1" applyFont="1" applyBorder="1"/>
    <xf numFmtId="0" fontId="3" fillId="0" borderId="0" xfId="0" applyFont="1"/>
    <xf numFmtId="3" fontId="4" fillId="0" borderId="27" xfId="0" applyNumberFormat="1" applyFont="1" applyBorder="1"/>
    <xf numFmtId="3" fontId="5" fillId="0" borderId="15" xfId="0" applyNumberFormat="1" applyFont="1" applyBorder="1"/>
    <xf numFmtId="3" fontId="5" fillId="0" borderId="6" xfId="0" applyNumberFormat="1" applyFont="1" applyBorder="1"/>
    <xf numFmtId="3" fontId="5" fillId="0" borderId="27" xfId="0" applyNumberFormat="1" applyFont="1" applyBorder="1"/>
    <xf numFmtId="0" fontId="1" fillId="0" borderId="4" xfId="0" applyFont="1" applyBorder="1" applyAlignment="1">
      <alignment horizontal="center"/>
    </xf>
    <xf numFmtId="0" fontId="0" fillId="2" borderId="20" xfId="0" applyFill="1" applyBorder="1"/>
    <xf numFmtId="0" fontId="0" fillId="2" borderId="23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6" fillId="0" borderId="28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center"/>
    </xf>
    <xf numFmtId="0" fontId="6" fillId="0" borderId="29" xfId="0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3" fontId="5" fillId="0" borderId="30" xfId="0" applyNumberFormat="1" applyFont="1" applyBorder="1"/>
    <xf numFmtId="3" fontId="5" fillId="0" borderId="0" xfId="0" applyNumberFormat="1" applyFont="1" applyBorder="1"/>
    <xf numFmtId="0" fontId="0" fillId="0" borderId="30" xfId="0" applyFill="1" applyBorder="1" applyAlignment="1">
      <alignment horizontal="center"/>
    </xf>
    <xf numFmtId="3" fontId="2" fillId="0" borderId="0" xfId="0" applyNumberFormat="1" applyFont="1"/>
    <xf numFmtId="3" fontId="2" fillId="0" borderId="27" xfId="0" applyNumberFormat="1" applyFont="1" applyBorder="1"/>
    <xf numFmtId="3" fontId="2" fillId="0" borderId="33" xfId="0" applyNumberFormat="1" applyFont="1" applyBorder="1"/>
    <xf numFmtId="3" fontId="2" fillId="0" borderId="34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2" fillId="0" borderId="35" xfId="0" applyNumberFormat="1" applyFont="1" applyBorder="1"/>
    <xf numFmtId="3" fontId="2" fillId="0" borderId="36" xfId="0" applyNumberFormat="1" applyFont="1" applyBorder="1"/>
    <xf numFmtId="0" fontId="0" fillId="0" borderId="35" xfId="0" applyBorder="1"/>
    <xf numFmtId="0" fontId="0" fillId="0" borderId="37" xfId="0" applyFill="1" applyBorder="1" applyAlignment="1">
      <alignment horizontal="center"/>
    </xf>
    <xf numFmtId="3" fontId="7" fillId="0" borderId="17" xfId="0" applyNumberFormat="1" applyFont="1" applyBorder="1"/>
    <xf numFmtId="3" fontId="7" fillId="0" borderId="18" xfId="0" applyNumberFormat="1" applyFont="1" applyBorder="1"/>
    <xf numFmtId="3" fontId="8" fillId="0" borderId="17" xfId="0" applyNumberFormat="1" applyFont="1" applyBorder="1"/>
    <xf numFmtId="3" fontId="8" fillId="0" borderId="16" xfId="0" applyNumberFormat="1" applyFont="1" applyBorder="1"/>
    <xf numFmtId="3" fontId="8" fillId="0" borderId="15" xfId="0" applyNumberFormat="1" applyFont="1" applyBorder="1"/>
    <xf numFmtId="0" fontId="8" fillId="0" borderId="0" xfId="0" applyFont="1"/>
    <xf numFmtId="3" fontId="8" fillId="0" borderId="18" xfId="0" applyNumberFormat="1" applyFont="1" applyBorder="1"/>
    <xf numFmtId="3" fontId="8" fillId="0" borderId="0" xfId="0" applyNumberFormat="1" applyFont="1"/>
    <xf numFmtId="0" fontId="0" fillId="0" borderId="3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3" fontId="8" fillId="0" borderId="8" xfId="0" applyNumberFormat="1" applyFont="1" applyBorder="1"/>
    <xf numFmtId="49" fontId="0" fillId="0" borderId="3" xfId="0" applyNumberFormat="1" applyBorder="1" applyAlignment="1">
      <alignment horizontal="center"/>
    </xf>
    <xf numFmtId="3" fontId="8" fillId="0" borderId="3" xfId="0" applyNumberFormat="1" applyFont="1" applyBorder="1"/>
    <xf numFmtId="49" fontId="0" fillId="0" borderId="5" xfId="0" applyNumberFormat="1" applyBorder="1" applyAlignment="1">
      <alignment horizontal="center"/>
    </xf>
    <xf numFmtId="3" fontId="8" fillId="0" borderId="5" xfId="0" applyNumberFormat="1" applyFont="1" applyBorder="1"/>
    <xf numFmtId="3" fontId="6" fillId="0" borderId="0" xfId="0" applyNumberFormat="1" applyFont="1" applyFill="1" applyBorder="1" applyAlignment="1">
      <alignment horizontal="right"/>
    </xf>
    <xf numFmtId="49" fontId="0" fillId="0" borderId="38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3" fontId="10" fillId="0" borderId="42" xfId="0" applyNumberFormat="1" applyFont="1" applyBorder="1"/>
    <xf numFmtId="3" fontId="11" fillId="0" borderId="43" xfId="0" applyNumberFormat="1" applyFont="1" applyBorder="1"/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0"/>
  <sheetViews>
    <sheetView workbookViewId="0">
      <selection activeCell="G7" sqref="G7"/>
    </sheetView>
  </sheetViews>
  <sheetFormatPr defaultRowHeight="14.4" x14ac:dyDescent="0.3"/>
  <cols>
    <col min="1" max="1" width="1.6640625" customWidth="1"/>
    <col min="2" max="2" width="9.109375" customWidth="1"/>
    <col min="3" max="3" width="44.6640625" customWidth="1"/>
    <col min="4" max="9" width="12.6640625" customWidth="1"/>
  </cols>
  <sheetData>
    <row r="1" spans="2:9" x14ac:dyDescent="0.3">
      <c r="B1" s="26" t="s">
        <v>1</v>
      </c>
      <c r="C1" s="27" t="s">
        <v>3</v>
      </c>
      <c r="D1" s="27" t="s">
        <v>40</v>
      </c>
      <c r="E1" s="27" t="s">
        <v>40</v>
      </c>
      <c r="F1" s="27" t="s">
        <v>44</v>
      </c>
      <c r="G1" s="40" t="s">
        <v>46</v>
      </c>
      <c r="H1" s="40" t="s">
        <v>53</v>
      </c>
      <c r="I1" s="28" t="s">
        <v>52</v>
      </c>
    </row>
    <row r="2" spans="2:9" ht="15" thickBot="1" x14ac:dyDescent="0.35">
      <c r="B2" s="29" t="s">
        <v>2</v>
      </c>
      <c r="C2" s="30" t="s">
        <v>2</v>
      </c>
      <c r="D2" s="30" t="s">
        <v>41</v>
      </c>
      <c r="E2" s="30" t="s">
        <v>23</v>
      </c>
      <c r="F2" s="30" t="s">
        <v>45</v>
      </c>
      <c r="G2" s="41" t="s">
        <v>49</v>
      </c>
      <c r="H2" s="41" t="s">
        <v>54</v>
      </c>
      <c r="I2" s="31" t="s">
        <v>49</v>
      </c>
    </row>
    <row r="3" spans="2:9" ht="15" thickBot="1" x14ac:dyDescent="0.35">
      <c r="B3" s="2"/>
      <c r="C3" s="2"/>
      <c r="D3" s="20" t="s">
        <v>43</v>
      </c>
      <c r="E3" s="20" t="s">
        <v>42</v>
      </c>
    </row>
    <row r="4" spans="2:9" ht="15" thickBot="1" x14ac:dyDescent="0.35">
      <c r="B4" s="8">
        <v>40</v>
      </c>
      <c r="C4" s="9" t="s">
        <v>2</v>
      </c>
      <c r="D4" s="21">
        <v>664092</v>
      </c>
      <c r="E4" s="21">
        <v>753804</v>
      </c>
      <c r="F4" s="32">
        <f>D4-E4</f>
        <v>-89712</v>
      </c>
      <c r="G4" s="42">
        <v>460631</v>
      </c>
      <c r="H4" s="22">
        <f>97950+207100+106150+142600+48300</f>
        <v>602100</v>
      </c>
      <c r="I4" s="44">
        <f>G4</f>
        <v>460631</v>
      </c>
    </row>
    <row r="5" spans="2:9" ht="15" thickBot="1" x14ac:dyDescent="0.35">
      <c r="B5" s="2"/>
      <c r="C5" s="2"/>
      <c r="F5" s="33"/>
      <c r="G5" s="33"/>
      <c r="I5" s="43"/>
    </row>
    <row r="6" spans="2:9" ht="15" thickBot="1" x14ac:dyDescent="0.35">
      <c r="B6" s="11">
        <v>41</v>
      </c>
      <c r="C6" s="12" t="s">
        <v>4</v>
      </c>
      <c r="D6" s="23">
        <v>1065</v>
      </c>
      <c r="E6" s="23"/>
      <c r="F6" s="34">
        <f t="shared" ref="F6:F11" si="0">D6-E6</f>
        <v>1065</v>
      </c>
      <c r="G6" s="37">
        <f>3795+F6</f>
        <v>4860</v>
      </c>
      <c r="H6" s="22"/>
      <c r="I6" s="44">
        <f>SUM(G6:G11)</f>
        <v>211256</v>
      </c>
    </row>
    <row r="7" spans="2:9" x14ac:dyDescent="0.3">
      <c r="B7" s="14">
        <v>42</v>
      </c>
      <c r="C7" s="3" t="s">
        <v>5</v>
      </c>
      <c r="D7" s="24">
        <v>25380</v>
      </c>
      <c r="E7" s="24">
        <v>40320</v>
      </c>
      <c r="F7" s="35">
        <f t="shared" si="0"/>
        <v>-14940</v>
      </c>
      <c r="G7" s="38">
        <f>40670+F7</f>
        <v>25730</v>
      </c>
      <c r="H7" s="22">
        <f>1200+29700+24800</f>
        <v>55700</v>
      </c>
      <c r="I7" s="43"/>
    </row>
    <row r="8" spans="2:9" x14ac:dyDescent="0.3">
      <c r="B8" s="14">
        <v>43</v>
      </c>
      <c r="C8" s="3" t="s">
        <v>6</v>
      </c>
      <c r="D8" s="24">
        <v>7125</v>
      </c>
      <c r="E8" s="24">
        <v>4021</v>
      </c>
      <c r="F8" s="35">
        <f t="shared" si="0"/>
        <v>3104</v>
      </c>
      <c r="G8" s="38">
        <f>28882+F8</f>
        <v>31986</v>
      </c>
      <c r="H8" s="22"/>
      <c r="I8" s="43"/>
    </row>
    <row r="9" spans="2:9" x14ac:dyDescent="0.3">
      <c r="B9" s="14">
        <v>44</v>
      </c>
      <c r="C9" s="3" t="s">
        <v>7</v>
      </c>
      <c r="D9" s="24">
        <v>5865</v>
      </c>
      <c r="E9" s="24">
        <v>4610</v>
      </c>
      <c r="F9" s="35">
        <f t="shared" si="0"/>
        <v>1255</v>
      </c>
      <c r="G9" s="38">
        <f>13306+F9</f>
        <v>14561</v>
      </c>
      <c r="H9" s="22"/>
      <c r="I9" s="43"/>
    </row>
    <row r="10" spans="2:9" x14ac:dyDescent="0.3">
      <c r="B10" s="14">
        <v>45</v>
      </c>
      <c r="C10" s="3" t="s">
        <v>8</v>
      </c>
      <c r="D10" s="24">
        <v>3270</v>
      </c>
      <c r="E10" s="24">
        <v>5905</v>
      </c>
      <c r="F10" s="35">
        <f t="shared" si="0"/>
        <v>-2635</v>
      </c>
      <c r="G10" s="38">
        <f>24108+F10</f>
        <v>21473</v>
      </c>
      <c r="H10" s="22"/>
      <c r="I10" s="43"/>
    </row>
    <row r="11" spans="2:9" ht="15" thickBot="1" x14ac:dyDescent="0.35">
      <c r="B11" s="16">
        <v>46</v>
      </c>
      <c r="C11" s="17" t="s">
        <v>9</v>
      </c>
      <c r="D11" s="25">
        <v>58860</v>
      </c>
      <c r="E11" s="25">
        <v>83038</v>
      </c>
      <c r="F11" s="36">
        <f t="shared" si="0"/>
        <v>-24178</v>
      </c>
      <c r="G11" s="39">
        <f>136824+F11</f>
        <v>112646</v>
      </c>
      <c r="H11" s="22">
        <f>2450+51300+1600+40800</f>
        <v>96150</v>
      </c>
      <c r="I11" s="43"/>
    </row>
    <row r="12" spans="2:9" ht="15" thickBot="1" x14ac:dyDescent="0.35">
      <c r="B12" s="2"/>
      <c r="C12" s="2"/>
      <c r="I12" s="43"/>
    </row>
    <row r="13" spans="2:9" ht="18.600000000000001" thickBot="1" x14ac:dyDescent="0.4">
      <c r="B13" s="2"/>
      <c r="C13" s="48" t="s">
        <v>48</v>
      </c>
      <c r="D13" s="45">
        <f>SUM(D4:D12)</f>
        <v>765657</v>
      </c>
      <c r="E13" s="45">
        <f>SUM(E4:E12)</f>
        <v>891698</v>
      </c>
      <c r="F13" s="45">
        <f>D13-E13</f>
        <v>-126041</v>
      </c>
      <c r="G13" s="45">
        <f>SUM(G4:G11)</f>
        <v>671887</v>
      </c>
      <c r="H13" s="46">
        <v>-300000</v>
      </c>
      <c r="I13" s="47">
        <f>SUM(G13:H13)</f>
        <v>371887</v>
      </c>
    </row>
    <row r="14" spans="2:9" x14ac:dyDescent="0.3">
      <c r="B14" s="2"/>
      <c r="C14" s="2"/>
      <c r="G14" s="26" t="s">
        <v>46</v>
      </c>
      <c r="H14" s="27" t="s">
        <v>50</v>
      </c>
      <c r="I14" s="28" t="s">
        <v>52</v>
      </c>
    </row>
    <row r="15" spans="2:9" ht="15" thickBot="1" x14ac:dyDescent="0.35">
      <c r="B15" s="2"/>
      <c r="C15" s="2"/>
      <c r="G15" s="29" t="s">
        <v>49</v>
      </c>
      <c r="H15" s="30" t="s">
        <v>51</v>
      </c>
      <c r="I15" s="31" t="s">
        <v>49</v>
      </c>
    </row>
    <row r="16" spans="2:9" ht="15" thickBot="1" x14ac:dyDescent="0.35">
      <c r="B16" s="2"/>
      <c r="C16" s="2"/>
    </row>
    <row r="17" spans="2:9" x14ac:dyDescent="0.3">
      <c r="B17" s="26" t="s">
        <v>24</v>
      </c>
      <c r="C17" s="27" t="s">
        <v>25</v>
      </c>
      <c r="D17" s="49" t="s">
        <v>40</v>
      </c>
      <c r="E17" s="49" t="s">
        <v>40</v>
      </c>
      <c r="F17" s="28" t="s">
        <v>44</v>
      </c>
      <c r="G17" t="s">
        <v>47</v>
      </c>
    </row>
    <row r="18" spans="2:9" ht="15" thickBot="1" x14ac:dyDescent="0.35">
      <c r="B18" s="29" t="s">
        <v>2</v>
      </c>
      <c r="C18" s="30" t="s">
        <v>2</v>
      </c>
      <c r="D18" s="50" t="s">
        <v>41</v>
      </c>
      <c r="E18" s="50" t="s">
        <v>23</v>
      </c>
      <c r="F18" s="31" t="s">
        <v>45</v>
      </c>
    </row>
    <row r="19" spans="2:9" x14ac:dyDescent="0.3">
      <c r="B19" s="11">
        <v>50</v>
      </c>
      <c r="C19" s="12" t="s">
        <v>10</v>
      </c>
      <c r="D19" s="23">
        <f>571392-1100-44550-8400</f>
        <v>517342</v>
      </c>
      <c r="E19" s="23">
        <v>441840</v>
      </c>
      <c r="F19" s="37">
        <f t="shared" ref="F19:F32" si="1">D19-E19</f>
        <v>75502</v>
      </c>
      <c r="H19" s="53" t="s">
        <v>61</v>
      </c>
      <c r="I19" s="54">
        <v>215000</v>
      </c>
    </row>
    <row r="20" spans="2:9" x14ac:dyDescent="0.3">
      <c r="B20" s="14">
        <v>51</v>
      </c>
      <c r="C20" s="3" t="s">
        <v>11</v>
      </c>
      <c r="D20" s="24"/>
      <c r="E20" s="24"/>
      <c r="F20" s="38">
        <f t="shared" si="1"/>
        <v>0</v>
      </c>
      <c r="H20" s="53" t="s">
        <v>55</v>
      </c>
      <c r="I20" s="54">
        <v>127600</v>
      </c>
    </row>
    <row r="21" spans="2:9" x14ac:dyDescent="0.3">
      <c r="B21" s="14">
        <v>52</v>
      </c>
      <c r="C21" s="3" t="s">
        <v>12</v>
      </c>
      <c r="D21" s="24">
        <f>100+44550+8400</f>
        <v>53050</v>
      </c>
      <c r="E21" s="24">
        <v>24250</v>
      </c>
      <c r="F21" s="38">
        <f t="shared" si="1"/>
        <v>28800</v>
      </c>
      <c r="H21" s="53" t="s">
        <v>56</v>
      </c>
      <c r="I21" s="54">
        <v>33810</v>
      </c>
    </row>
    <row r="22" spans="2:9" x14ac:dyDescent="0.3">
      <c r="B22" s="14">
        <v>53</v>
      </c>
      <c r="C22" s="3" t="s">
        <v>13</v>
      </c>
      <c r="D22" s="24">
        <f>11800+1100</f>
        <v>12900</v>
      </c>
      <c r="E22" s="24">
        <v>45990</v>
      </c>
      <c r="F22" s="38">
        <f t="shared" si="1"/>
        <v>-33090</v>
      </c>
      <c r="H22" s="53" t="s">
        <v>57</v>
      </c>
      <c r="I22" s="54">
        <v>34915</v>
      </c>
    </row>
    <row r="23" spans="2:9" x14ac:dyDescent="0.3">
      <c r="B23" s="14">
        <v>54</v>
      </c>
      <c r="C23" s="3" t="s">
        <v>15</v>
      </c>
      <c r="D23" s="24"/>
      <c r="E23" s="24">
        <v>170</v>
      </c>
      <c r="F23" s="38">
        <f t="shared" si="1"/>
        <v>-170</v>
      </c>
      <c r="H23" s="53" t="s">
        <v>58</v>
      </c>
      <c r="I23" s="54">
        <v>52500</v>
      </c>
    </row>
    <row r="24" spans="2:9" x14ac:dyDescent="0.3">
      <c r="B24" s="14">
        <v>55</v>
      </c>
      <c r="C24" s="3" t="s">
        <v>14</v>
      </c>
      <c r="D24" s="24"/>
      <c r="E24" s="24">
        <v>7696</v>
      </c>
      <c r="F24" s="38">
        <f t="shared" si="1"/>
        <v>-7696</v>
      </c>
      <c r="H24" s="53" t="s">
        <v>59</v>
      </c>
      <c r="I24" s="54">
        <v>8400</v>
      </c>
    </row>
    <row r="25" spans="2:9" x14ac:dyDescent="0.3">
      <c r="B25" s="14">
        <v>56</v>
      </c>
      <c r="C25" s="3" t="s">
        <v>16</v>
      </c>
      <c r="D25" s="24"/>
      <c r="E25" s="24"/>
      <c r="F25" s="38">
        <f t="shared" si="1"/>
        <v>0</v>
      </c>
      <c r="H25" s="53" t="s">
        <v>60</v>
      </c>
      <c r="I25" s="54">
        <v>344050</v>
      </c>
    </row>
    <row r="26" spans="2:9" x14ac:dyDescent="0.3">
      <c r="B26" s="14">
        <v>57</v>
      </c>
      <c r="C26" s="3" t="s">
        <v>17</v>
      </c>
      <c r="D26" s="24"/>
      <c r="E26" s="24"/>
      <c r="F26" s="38">
        <f t="shared" si="1"/>
        <v>0</v>
      </c>
      <c r="H26" s="55"/>
      <c r="I26" s="56"/>
    </row>
    <row r="27" spans="2:9" x14ac:dyDescent="0.3">
      <c r="B27" s="14">
        <v>58</v>
      </c>
      <c r="C27" s="3" t="s">
        <v>18</v>
      </c>
      <c r="D27" s="24">
        <v>20800</v>
      </c>
      <c r="E27" s="24">
        <v>21160</v>
      </c>
      <c r="F27" s="38">
        <f t="shared" si="1"/>
        <v>-360</v>
      </c>
    </row>
    <row r="28" spans="2:9" x14ac:dyDescent="0.3">
      <c r="B28" s="14">
        <v>59</v>
      </c>
      <c r="C28" s="3" t="s">
        <v>19</v>
      </c>
      <c r="D28" s="24"/>
      <c r="E28" s="24">
        <v>376</v>
      </c>
      <c r="F28" s="38">
        <f t="shared" si="1"/>
        <v>-376</v>
      </c>
    </row>
    <row r="29" spans="2:9" x14ac:dyDescent="0.3">
      <c r="B29" s="14">
        <v>60</v>
      </c>
      <c r="C29" s="3" t="s">
        <v>20</v>
      </c>
      <c r="D29" s="24"/>
      <c r="E29" s="24">
        <v>10286</v>
      </c>
      <c r="F29" s="38">
        <f t="shared" si="1"/>
        <v>-10286</v>
      </c>
      <c r="I29" s="22"/>
    </row>
    <row r="30" spans="2:9" x14ac:dyDescent="0.3">
      <c r="B30" s="14">
        <v>61</v>
      </c>
      <c r="C30" s="3" t="s">
        <v>26</v>
      </c>
      <c r="D30" s="24">
        <v>30000</v>
      </c>
      <c r="E30" s="24">
        <v>63920</v>
      </c>
      <c r="F30" s="38">
        <f t="shared" si="1"/>
        <v>-33920</v>
      </c>
    </row>
    <row r="31" spans="2:9" x14ac:dyDescent="0.3">
      <c r="B31" s="14">
        <v>61</v>
      </c>
      <c r="C31" s="3" t="s">
        <v>27</v>
      </c>
      <c r="D31" s="24">
        <v>30000</v>
      </c>
      <c r="E31" s="24">
        <v>103222</v>
      </c>
      <c r="F31" s="38">
        <f t="shared" si="1"/>
        <v>-73222</v>
      </c>
    </row>
    <row r="32" spans="2:9" ht="15" thickBot="1" x14ac:dyDescent="0.35">
      <c r="B32" s="16">
        <v>62</v>
      </c>
      <c r="C32" s="17" t="s">
        <v>21</v>
      </c>
      <c r="D32" s="25"/>
      <c r="E32" s="25">
        <v>34900</v>
      </c>
      <c r="F32" s="39">
        <f t="shared" si="1"/>
        <v>-34900</v>
      </c>
    </row>
    <row r="33" spans="3:7" x14ac:dyDescent="0.3">
      <c r="F33" s="22"/>
    </row>
    <row r="34" spans="3:7" x14ac:dyDescent="0.3">
      <c r="C34" s="52"/>
      <c r="D34" s="22"/>
      <c r="E34" s="22"/>
    </row>
    <row r="35" spans="3:7" x14ac:dyDescent="0.3">
      <c r="C35" s="52"/>
      <c r="E35" s="51"/>
    </row>
    <row r="36" spans="3:7" x14ac:dyDescent="0.3">
      <c r="C36" s="52"/>
      <c r="E36" s="51"/>
    </row>
    <row r="37" spans="3:7" x14ac:dyDescent="0.3">
      <c r="C37" s="52"/>
      <c r="E37" s="51"/>
    </row>
    <row r="38" spans="3:7" x14ac:dyDescent="0.3">
      <c r="C38" s="52"/>
      <c r="E38" s="51"/>
      <c r="G38" s="22"/>
    </row>
    <row r="39" spans="3:7" x14ac:dyDescent="0.3">
      <c r="C39" s="52"/>
      <c r="E39" s="51"/>
    </row>
    <row r="40" spans="3:7" x14ac:dyDescent="0.3">
      <c r="C40" s="52"/>
      <c r="E40" s="51"/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workbookViewId="0">
      <selection activeCell="G10" sqref="G10"/>
    </sheetView>
  </sheetViews>
  <sheetFormatPr defaultRowHeight="14.4" x14ac:dyDescent="0.3"/>
  <cols>
    <col min="1" max="1" width="1.6640625" customWidth="1"/>
    <col min="3" max="3" width="44.6640625" customWidth="1"/>
    <col min="4" max="9" width="12.6640625" customWidth="1"/>
  </cols>
  <sheetData>
    <row r="1" spans="2:9" x14ac:dyDescent="0.3">
      <c r="B1" s="26" t="s">
        <v>1</v>
      </c>
      <c r="C1" s="27" t="s">
        <v>3</v>
      </c>
      <c r="D1" s="27" t="s">
        <v>40</v>
      </c>
      <c r="E1" s="27" t="s">
        <v>40</v>
      </c>
      <c r="F1" s="27" t="s">
        <v>44</v>
      </c>
      <c r="G1" s="40" t="s">
        <v>46</v>
      </c>
      <c r="H1" s="61"/>
      <c r="I1" s="52"/>
    </row>
    <row r="2" spans="2:9" ht="15" thickBot="1" x14ac:dyDescent="0.35">
      <c r="B2" s="29" t="s">
        <v>2</v>
      </c>
      <c r="C2" s="30" t="s">
        <v>2</v>
      </c>
      <c r="D2" s="30" t="s">
        <v>62</v>
      </c>
      <c r="E2" s="30" t="s">
        <v>63</v>
      </c>
      <c r="F2" s="30" t="s">
        <v>64</v>
      </c>
      <c r="G2" s="41" t="s">
        <v>65</v>
      </c>
      <c r="H2" s="61"/>
      <c r="I2" s="52"/>
    </row>
    <row r="3" spans="2:9" ht="15" thickBot="1" x14ac:dyDescent="0.35">
      <c r="B3" s="2"/>
      <c r="C3" s="2"/>
      <c r="D3" s="20" t="s">
        <v>43</v>
      </c>
      <c r="E3" s="20" t="s">
        <v>42</v>
      </c>
    </row>
    <row r="4" spans="2:9" ht="15" thickBot="1" x14ac:dyDescent="0.35">
      <c r="B4" s="8">
        <v>40</v>
      </c>
      <c r="C4" s="9" t="s">
        <v>2</v>
      </c>
      <c r="D4" s="21">
        <v>673272</v>
      </c>
      <c r="E4" s="21">
        <v>712102</v>
      </c>
      <c r="F4" s="32">
        <f>D4-E4</f>
        <v>-38830</v>
      </c>
      <c r="G4" s="42">
        <v>407732</v>
      </c>
      <c r="H4" s="22"/>
      <c r="I4" s="43"/>
    </row>
    <row r="5" spans="2:9" ht="15" thickBot="1" x14ac:dyDescent="0.35">
      <c r="B5" s="2"/>
      <c r="C5" s="2"/>
      <c r="F5" s="33"/>
      <c r="G5" s="33"/>
      <c r="I5" s="43"/>
    </row>
    <row r="6" spans="2:9" x14ac:dyDescent="0.3">
      <c r="B6" s="11">
        <v>41</v>
      </c>
      <c r="C6" s="12" t="s">
        <v>4</v>
      </c>
      <c r="D6" s="23">
        <v>975</v>
      </c>
      <c r="E6" s="23"/>
      <c r="F6" s="34">
        <f t="shared" ref="F6:F11" si="0">D6-E6</f>
        <v>975</v>
      </c>
      <c r="G6" s="37">
        <f>4860+F6</f>
        <v>5835</v>
      </c>
      <c r="H6" s="22"/>
      <c r="I6" s="43"/>
    </row>
    <row r="7" spans="2:9" x14ac:dyDescent="0.3">
      <c r="B7" s="14">
        <v>42</v>
      </c>
      <c r="C7" s="3" t="s">
        <v>5</v>
      </c>
      <c r="D7" s="24">
        <v>158275</v>
      </c>
      <c r="E7" s="24">
        <v>169042</v>
      </c>
      <c r="F7" s="35">
        <f t="shared" si="0"/>
        <v>-10767</v>
      </c>
      <c r="G7" s="38">
        <v>6519</v>
      </c>
      <c r="H7" s="22"/>
      <c r="I7" s="43"/>
    </row>
    <row r="8" spans="2:9" x14ac:dyDescent="0.3">
      <c r="B8" s="14">
        <v>43</v>
      </c>
      <c r="C8" s="3" t="s">
        <v>6</v>
      </c>
      <c r="D8" s="24">
        <v>5445</v>
      </c>
      <c r="E8" s="24">
        <v>3976</v>
      </c>
      <c r="F8" s="35">
        <f t="shared" si="0"/>
        <v>1469</v>
      </c>
      <c r="G8" s="38">
        <v>35116</v>
      </c>
      <c r="H8" s="22"/>
      <c r="I8" s="43"/>
    </row>
    <row r="9" spans="2:9" x14ac:dyDescent="0.3">
      <c r="B9" s="14">
        <v>44</v>
      </c>
      <c r="C9" s="3" t="s">
        <v>7</v>
      </c>
      <c r="D9" s="24">
        <v>6345</v>
      </c>
      <c r="E9" s="24">
        <v>5000</v>
      </c>
      <c r="F9" s="35">
        <f t="shared" si="0"/>
        <v>1345</v>
      </c>
      <c r="G9" s="38">
        <v>10646</v>
      </c>
      <c r="H9" s="22"/>
      <c r="I9" s="43"/>
    </row>
    <row r="10" spans="2:9" x14ac:dyDescent="0.3">
      <c r="B10" s="14">
        <v>45</v>
      </c>
      <c r="C10" s="3" t="s">
        <v>8</v>
      </c>
      <c r="D10" s="24">
        <v>4065</v>
      </c>
      <c r="E10" s="24"/>
      <c r="F10" s="35">
        <f t="shared" si="0"/>
        <v>4065</v>
      </c>
      <c r="G10" s="38">
        <v>14580</v>
      </c>
      <c r="H10" s="22"/>
      <c r="I10" s="43"/>
    </row>
    <row r="11" spans="2:9" ht="15" thickBot="1" x14ac:dyDescent="0.35">
      <c r="B11" s="16">
        <v>46</v>
      </c>
      <c r="C11" s="17" t="s">
        <v>66</v>
      </c>
      <c r="D11" s="25">
        <v>46105</v>
      </c>
      <c r="E11" s="25">
        <v>47220</v>
      </c>
      <c r="F11" s="36">
        <f t="shared" si="0"/>
        <v>-1115</v>
      </c>
      <c r="G11" s="39">
        <f>125328</f>
        <v>125328</v>
      </c>
      <c r="H11" s="22"/>
      <c r="I11" s="43"/>
    </row>
    <row r="12" spans="2:9" ht="15" thickBot="1" x14ac:dyDescent="0.35">
      <c r="B12" s="2"/>
      <c r="C12" s="2"/>
      <c r="D12" s="22">
        <f>SUM(D6:D11)</f>
        <v>221210</v>
      </c>
      <c r="E12" s="22">
        <f>SUM(E6:E11)</f>
        <v>225238</v>
      </c>
      <c r="F12" s="22">
        <f>SUM(F6:F11)</f>
        <v>-4028</v>
      </c>
      <c r="I12" s="43"/>
    </row>
    <row r="13" spans="2:9" ht="18.600000000000001" thickBot="1" x14ac:dyDescent="0.4">
      <c r="B13" s="2"/>
      <c r="C13" s="48" t="s">
        <v>48</v>
      </c>
      <c r="D13" s="45">
        <f>SUM(D4:D11)</f>
        <v>894482</v>
      </c>
      <c r="E13" s="45">
        <f>SUM(E4:E11)</f>
        <v>937340</v>
      </c>
      <c r="F13" s="45">
        <f>D13-E13</f>
        <v>-42858</v>
      </c>
      <c r="G13" s="45">
        <f>SUM(G4:G11)</f>
        <v>605756</v>
      </c>
      <c r="H13" s="59"/>
      <c r="I13" s="60"/>
    </row>
    <row r="14" spans="2:9" ht="15" customHeight="1" x14ac:dyDescent="0.35">
      <c r="B14" s="2"/>
      <c r="C14" s="2"/>
      <c r="G14" s="57" t="s">
        <v>46</v>
      </c>
      <c r="H14" s="59"/>
      <c r="I14" s="60"/>
    </row>
    <row r="15" spans="2:9" ht="15" customHeight="1" thickBot="1" x14ac:dyDescent="0.4">
      <c r="B15" s="2"/>
      <c r="C15" s="2" t="s">
        <v>47</v>
      </c>
      <c r="G15" s="58" t="s">
        <v>65</v>
      </c>
      <c r="H15" s="59"/>
      <c r="I15" s="60"/>
    </row>
    <row r="16" spans="2:9" ht="15" thickBot="1" x14ac:dyDescent="0.35">
      <c r="B16" s="2"/>
      <c r="C16" s="2"/>
    </row>
    <row r="17" spans="2:9" x14ac:dyDescent="0.3">
      <c r="B17" s="26" t="s">
        <v>24</v>
      </c>
      <c r="C17" s="27" t="s">
        <v>25</v>
      </c>
      <c r="D17" s="49" t="s">
        <v>40</v>
      </c>
      <c r="E17" s="49" t="s">
        <v>40</v>
      </c>
      <c r="F17" s="28" t="s">
        <v>44</v>
      </c>
      <c r="G17" t="s">
        <v>47</v>
      </c>
    </row>
    <row r="18" spans="2:9" ht="15" thickBot="1" x14ac:dyDescent="0.35">
      <c r="B18" s="29" t="s">
        <v>2</v>
      </c>
      <c r="C18" s="30" t="s">
        <v>2</v>
      </c>
      <c r="D18" s="50" t="s">
        <v>62</v>
      </c>
      <c r="E18" s="50" t="s">
        <v>63</v>
      </c>
      <c r="F18" s="31" t="s">
        <v>64</v>
      </c>
    </row>
    <row r="19" spans="2:9" x14ac:dyDescent="0.3">
      <c r="B19" s="11">
        <v>50</v>
      </c>
      <c r="C19" s="12" t="s">
        <v>10</v>
      </c>
      <c r="D19" s="23">
        <v>564972</v>
      </c>
      <c r="E19" s="23">
        <f>212798+69392</f>
        <v>282190</v>
      </c>
      <c r="F19" s="37">
        <f t="shared" ref="F19:F32" si="1">D19-E19</f>
        <v>282782</v>
      </c>
      <c r="H19" s="53" t="s">
        <v>61</v>
      </c>
      <c r="I19" s="54">
        <v>215000</v>
      </c>
    </row>
    <row r="20" spans="2:9" x14ac:dyDescent="0.3">
      <c r="B20" s="14">
        <v>51</v>
      </c>
      <c r="C20" s="3" t="s">
        <v>11</v>
      </c>
      <c r="D20" s="24"/>
      <c r="E20" s="24"/>
      <c r="F20" s="38">
        <f t="shared" si="1"/>
        <v>0</v>
      </c>
      <c r="H20" s="53" t="s">
        <v>55</v>
      </c>
      <c r="I20" s="54">
        <v>124300</v>
      </c>
    </row>
    <row r="21" spans="2:9" x14ac:dyDescent="0.3">
      <c r="B21" s="14">
        <v>52</v>
      </c>
      <c r="C21" s="3" t="s">
        <v>12</v>
      </c>
      <c r="D21" s="24"/>
      <c r="E21" s="24">
        <v>33178</v>
      </c>
      <c r="F21" s="38">
        <f t="shared" si="1"/>
        <v>-33178</v>
      </c>
      <c r="H21" s="53" t="s">
        <v>56</v>
      </c>
      <c r="I21" s="54">
        <v>42400</v>
      </c>
    </row>
    <row r="22" spans="2:9" x14ac:dyDescent="0.3">
      <c r="B22" s="14">
        <v>53</v>
      </c>
      <c r="C22" s="3" t="s">
        <v>13</v>
      </c>
      <c r="D22" s="24">
        <v>11600</v>
      </c>
      <c r="E22" s="24">
        <v>58368</v>
      </c>
      <c r="F22" s="38">
        <f t="shared" si="1"/>
        <v>-46768</v>
      </c>
      <c r="H22" s="53" t="s">
        <v>57</v>
      </c>
      <c r="I22" s="54">
        <v>90210</v>
      </c>
    </row>
    <row r="23" spans="2:9" x14ac:dyDescent="0.3">
      <c r="B23" s="14">
        <v>54</v>
      </c>
      <c r="C23" s="3" t="s">
        <v>15</v>
      </c>
      <c r="D23" s="24"/>
      <c r="E23" s="24">
        <v>168</v>
      </c>
      <c r="F23" s="38">
        <f t="shared" si="1"/>
        <v>-168</v>
      </c>
      <c r="H23" s="53" t="s">
        <v>58</v>
      </c>
      <c r="I23" s="54">
        <v>67150</v>
      </c>
    </row>
    <row r="24" spans="2:9" x14ac:dyDescent="0.3">
      <c r="B24" s="14">
        <v>55</v>
      </c>
      <c r="C24" s="3" t="s">
        <v>14</v>
      </c>
      <c r="D24" s="24"/>
      <c r="E24" s="24">
        <v>10740</v>
      </c>
      <c r="F24" s="38">
        <f t="shared" si="1"/>
        <v>-10740</v>
      </c>
      <c r="H24" s="53" t="s">
        <v>59</v>
      </c>
      <c r="I24" s="54">
        <v>13260</v>
      </c>
    </row>
    <row r="25" spans="2:9" x14ac:dyDescent="0.3">
      <c r="B25" s="14">
        <v>56</v>
      </c>
      <c r="C25" s="3" t="s">
        <v>16</v>
      </c>
      <c r="D25" s="24"/>
      <c r="E25" s="24"/>
      <c r="F25" s="38">
        <f t="shared" si="1"/>
        <v>0</v>
      </c>
      <c r="H25" s="53" t="s">
        <v>60</v>
      </c>
      <c r="I25" s="54">
        <v>321750</v>
      </c>
    </row>
    <row r="26" spans="2:9" x14ac:dyDescent="0.3">
      <c r="B26" s="14">
        <v>57</v>
      </c>
      <c r="C26" s="3" t="s">
        <v>17</v>
      </c>
      <c r="D26" s="24"/>
      <c r="E26" s="24"/>
      <c r="F26" s="38">
        <f t="shared" si="1"/>
        <v>0</v>
      </c>
      <c r="H26" s="55"/>
      <c r="I26" s="56"/>
    </row>
    <row r="27" spans="2:9" x14ac:dyDescent="0.3">
      <c r="B27" s="14">
        <v>58</v>
      </c>
      <c r="C27" s="3" t="s">
        <v>18</v>
      </c>
      <c r="D27" s="24">
        <v>24700</v>
      </c>
      <c r="E27" s="24">
        <v>29216</v>
      </c>
      <c r="F27" s="38">
        <f t="shared" si="1"/>
        <v>-4516</v>
      </c>
    </row>
    <row r="28" spans="2:9" x14ac:dyDescent="0.3">
      <c r="B28" s="14">
        <v>59</v>
      </c>
      <c r="C28" s="3" t="s">
        <v>19</v>
      </c>
      <c r="D28" s="24"/>
      <c r="E28" s="24">
        <v>55000</v>
      </c>
      <c r="F28" s="38">
        <f t="shared" si="1"/>
        <v>-55000</v>
      </c>
    </row>
    <row r="29" spans="2:9" x14ac:dyDescent="0.3">
      <c r="B29" s="14">
        <v>60</v>
      </c>
      <c r="C29" s="3" t="s">
        <v>20</v>
      </c>
      <c r="D29" s="24"/>
      <c r="E29" s="24">
        <v>82704</v>
      </c>
      <c r="F29" s="38">
        <f t="shared" si="1"/>
        <v>-82704</v>
      </c>
      <c r="I29" s="22"/>
    </row>
    <row r="30" spans="2:9" x14ac:dyDescent="0.3">
      <c r="B30" s="14">
        <v>61</v>
      </c>
      <c r="C30" s="3" t="s">
        <v>26</v>
      </c>
      <c r="D30" s="24">
        <v>36000</v>
      </c>
      <c r="E30" s="24">
        <v>79554</v>
      </c>
      <c r="F30" s="38">
        <f t="shared" si="1"/>
        <v>-43554</v>
      </c>
    </row>
    <row r="31" spans="2:9" x14ac:dyDescent="0.3">
      <c r="B31" s="14">
        <v>61</v>
      </c>
      <c r="C31" s="3" t="s">
        <v>27</v>
      </c>
      <c r="D31" s="24">
        <v>36000</v>
      </c>
      <c r="E31" s="24">
        <v>79554</v>
      </c>
      <c r="F31" s="38">
        <f t="shared" si="1"/>
        <v>-43554</v>
      </c>
    </row>
    <row r="32" spans="2:9" ht="15" thickBot="1" x14ac:dyDescent="0.35">
      <c r="B32" s="16">
        <v>62</v>
      </c>
      <c r="C32" s="17" t="s">
        <v>21</v>
      </c>
      <c r="D32" s="25"/>
      <c r="E32" s="25">
        <v>1430</v>
      </c>
      <c r="F32" s="39">
        <f t="shared" si="1"/>
        <v>-1430</v>
      </c>
    </row>
    <row r="33" spans="4:6" x14ac:dyDescent="0.3">
      <c r="D33" s="62">
        <f>SUM(D19:D32)</f>
        <v>673272</v>
      </c>
      <c r="E33" s="62">
        <f>SUM(E19:E32)</f>
        <v>712102</v>
      </c>
      <c r="F33" s="62">
        <f>SUM(F19:F32)</f>
        <v>-38830</v>
      </c>
    </row>
  </sheetData>
  <pageMargins left="0" right="0" top="0.59055118110236227" bottom="0.59055118110236227" header="0.31496062992125984" footer="0.31496062992125984"/>
  <pageSetup paperSize="9" orientation="landscape" verticalDpi="0" r:id="rId1"/>
  <ignoredErrors>
    <ignoredError sqref="F12:F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5"/>
  <sheetViews>
    <sheetView workbookViewId="0">
      <selection activeCell="E19" sqref="E19"/>
    </sheetView>
  </sheetViews>
  <sheetFormatPr defaultRowHeight="14.4" x14ac:dyDescent="0.3"/>
  <cols>
    <col min="1" max="1" width="1.6640625" customWidth="1"/>
    <col min="3" max="3" width="44.6640625" customWidth="1"/>
    <col min="4" max="9" width="12.6640625" customWidth="1"/>
  </cols>
  <sheetData>
    <row r="1" spans="2:9" x14ac:dyDescent="0.3">
      <c r="B1" s="26" t="s">
        <v>1</v>
      </c>
      <c r="C1" s="27" t="s">
        <v>3</v>
      </c>
      <c r="D1" s="27" t="s">
        <v>40</v>
      </c>
      <c r="E1" s="27" t="s">
        <v>40</v>
      </c>
      <c r="F1" s="27" t="s">
        <v>44</v>
      </c>
      <c r="G1" s="40" t="s">
        <v>46</v>
      </c>
      <c r="H1" s="61"/>
      <c r="I1" s="52"/>
    </row>
    <row r="2" spans="2:9" ht="15" thickBot="1" x14ac:dyDescent="0.35">
      <c r="B2" s="29" t="s">
        <v>2</v>
      </c>
      <c r="C2" s="30" t="s">
        <v>2</v>
      </c>
      <c r="D2" s="30" t="s">
        <v>67</v>
      </c>
      <c r="E2" s="30" t="s">
        <v>68</v>
      </c>
      <c r="F2" s="30" t="s">
        <v>69</v>
      </c>
      <c r="G2" s="41" t="s">
        <v>74</v>
      </c>
      <c r="H2" s="61"/>
      <c r="I2" s="52"/>
    </row>
    <row r="3" spans="2:9" ht="15" thickBot="1" x14ac:dyDescent="0.35">
      <c r="B3" s="2"/>
      <c r="C3" s="2"/>
      <c r="D3" s="20" t="s">
        <v>43</v>
      </c>
      <c r="E3" s="20" t="s">
        <v>42</v>
      </c>
      <c r="G3" s="69">
        <f>13845+412267+205994</f>
        <v>632106</v>
      </c>
    </row>
    <row r="4" spans="2:9" ht="15" thickBot="1" x14ac:dyDescent="0.35">
      <c r="B4" s="8">
        <v>40</v>
      </c>
      <c r="C4" s="9" t="s">
        <v>2</v>
      </c>
      <c r="D4" s="77">
        <v>467458</v>
      </c>
      <c r="E4" s="77">
        <v>751220</v>
      </c>
      <c r="F4" s="32">
        <f>D4-E4</f>
        <v>-283762</v>
      </c>
      <c r="G4" s="63">
        <f t="shared" ref="G4:G11" si="0">F4</f>
        <v>-283762</v>
      </c>
      <c r="H4" s="22"/>
      <c r="I4" s="43"/>
    </row>
    <row r="5" spans="2:9" ht="15" thickBot="1" x14ac:dyDescent="0.35">
      <c r="B5" s="2"/>
      <c r="C5" s="2"/>
      <c r="D5" s="78"/>
      <c r="E5" s="78"/>
      <c r="F5" s="33"/>
      <c r="G5" s="33"/>
      <c r="I5" s="43"/>
    </row>
    <row r="6" spans="2:9" x14ac:dyDescent="0.3">
      <c r="B6" s="11">
        <v>41</v>
      </c>
      <c r="C6" s="12" t="s">
        <v>4</v>
      </c>
      <c r="D6" s="76"/>
      <c r="E6" s="76"/>
      <c r="F6" s="34">
        <f t="shared" ref="F6:F11" si="1">D6-E6</f>
        <v>0</v>
      </c>
      <c r="G6" s="64">
        <f t="shared" si="0"/>
        <v>0</v>
      </c>
      <c r="H6" s="22"/>
      <c r="I6" s="43"/>
    </row>
    <row r="7" spans="2:9" x14ac:dyDescent="0.3">
      <c r="B7" s="14">
        <v>42</v>
      </c>
      <c r="C7" s="3" t="s">
        <v>5</v>
      </c>
      <c r="D7" s="75">
        <v>8650</v>
      </c>
      <c r="E7" s="75">
        <v>4762</v>
      </c>
      <c r="F7" s="35">
        <f t="shared" si="1"/>
        <v>3888</v>
      </c>
      <c r="G7" s="65">
        <f t="shared" si="0"/>
        <v>3888</v>
      </c>
      <c r="H7" s="22"/>
      <c r="I7" s="43"/>
    </row>
    <row r="8" spans="2:9" x14ac:dyDescent="0.3">
      <c r="B8" s="14">
        <v>43</v>
      </c>
      <c r="C8" s="3" t="s">
        <v>6</v>
      </c>
      <c r="D8" s="75">
        <v>4225</v>
      </c>
      <c r="E8" s="75">
        <v>4453</v>
      </c>
      <c r="F8" s="35">
        <f t="shared" si="1"/>
        <v>-228</v>
      </c>
      <c r="G8" s="65">
        <f t="shared" si="0"/>
        <v>-228</v>
      </c>
      <c r="H8" s="22"/>
      <c r="I8" s="43"/>
    </row>
    <row r="9" spans="2:9" x14ac:dyDescent="0.3">
      <c r="B9" s="14">
        <v>44</v>
      </c>
      <c r="C9" s="3" t="s">
        <v>7</v>
      </c>
      <c r="D9" s="75">
        <v>6900</v>
      </c>
      <c r="E9" s="75">
        <v>3805</v>
      </c>
      <c r="F9" s="35">
        <f t="shared" si="1"/>
        <v>3095</v>
      </c>
      <c r="G9" s="65">
        <f t="shared" si="0"/>
        <v>3095</v>
      </c>
      <c r="H9" s="22"/>
      <c r="I9" s="43"/>
    </row>
    <row r="10" spans="2:9" x14ac:dyDescent="0.3">
      <c r="B10" s="14">
        <v>45</v>
      </c>
      <c r="C10" s="3" t="s">
        <v>8</v>
      </c>
      <c r="D10" s="75">
        <v>4350</v>
      </c>
      <c r="E10" s="75">
        <v>7</v>
      </c>
      <c r="F10" s="35">
        <f t="shared" si="1"/>
        <v>4343</v>
      </c>
      <c r="G10" s="65">
        <f t="shared" si="0"/>
        <v>4343</v>
      </c>
      <c r="H10" s="22"/>
      <c r="I10" s="43"/>
    </row>
    <row r="11" spans="2:9" ht="15" thickBot="1" x14ac:dyDescent="0.35">
      <c r="B11" s="16">
        <v>46</v>
      </c>
      <c r="C11" s="17" t="s">
        <v>66</v>
      </c>
      <c r="D11" s="79">
        <v>85135</v>
      </c>
      <c r="E11" s="79">
        <v>81061</v>
      </c>
      <c r="F11" s="36">
        <f t="shared" si="1"/>
        <v>4074</v>
      </c>
      <c r="G11" s="70">
        <f t="shared" si="0"/>
        <v>4074</v>
      </c>
      <c r="H11" s="22"/>
      <c r="I11" s="43"/>
    </row>
    <row r="12" spans="2:9" ht="15" thickBot="1" x14ac:dyDescent="0.35">
      <c r="B12" s="2"/>
      <c r="C12" s="66" t="s">
        <v>75</v>
      </c>
      <c r="D12" s="80">
        <f>SUM(D6:D11)</f>
        <v>109260</v>
      </c>
      <c r="E12" s="80">
        <f>SUM(E6:E11)</f>
        <v>94088</v>
      </c>
      <c r="F12" s="22">
        <f>SUM(F6:F11)</f>
        <v>15172</v>
      </c>
      <c r="G12" s="71"/>
      <c r="I12" s="43"/>
    </row>
    <row r="13" spans="2:9" ht="18.600000000000001" thickBot="1" x14ac:dyDescent="0.4">
      <c r="B13" s="2"/>
      <c r="C13" s="48" t="s">
        <v>48</v>
      </c>
      <c r="D13" s="45">
        <f>SUM(D4:D11)</f>
        <v>576718</v>
      </c>
      <c r="E13" s="45">
        <f>SUM(E4:E11)</f>
        <v>845308</v>
      </c>
      <c r="F13" s="45">
        <f>D13-E13</f>
        <v>-268590</v>
      </c>
      <c r="G13" s="47">
        <f>SUM(G3:G11)</f>
        <v>363516</v>
      </c>
      <c r="H13" s="60"/>
      <c r="I13" s="60"/>
    </row>
    <row r="14" spans="2:9" ht="18" x14ac:dyDescent="0.35">
      <c r="B14" s="2"/>
      <c r="C14" s="2"/>
      <c r="G14" s="4" t="s">
        <v>46</v>
      </c>
      <c r="H14" s="60"/>
      <c r="I14" s="60"/>
    </row>
    <row r="15" spans="2:9" ht="18.600000000000001" thickBot="1" x14ac:dyDescent="0.4">
      <c r="B15" s="2"/>
      <c r="C15" s="2" t="s">
        <v>47</v>
      </c>
      <c r="G15" s="6" t="s">
        <v>78</v>
      </c>
      <c r="H15" s="60"/>
      <c r="I15" s="60"/>
    </row>
    <row r="16" spans="2:9" ht="15" thickBot="1" x14ac:dyDescent="0.35">
      <c r="B16" s="2"/>
      <c r="C16" s="2"/>
    </row>
    <row r="17" spans="2:9" x14ac:dyDescent="0.3">
      <c r="B17" s="26" t="s">
        <v>24</v>
      </c>
      <c r="C17" s="27" t="s">
        <v>25</v>
      </c>
      <c r="D17" s="49" t="s">
        <v>40</v>
      </c>
      <c r="E17" s="49" t="s">
        <v>40</v>
      </c>
      <c r="F17" s="28" t="s">
        <v>44</v>
      </c>
      <c r="G17" t="s">
        <v>47</v>
      </c>
    </row>
    <row r="18" spans="2:9" ht="15" thickBot="1" x14ac:dyDescent="0.35">
      <c r="B18" s="29" t="s">
        <v>2</v>
      </c>
      <c r="C18" s="30" t="s">
        <v>2</v>
      </c>
      <c r="D18" s="50" t="s">
        <v>67</v>
      </c>
      <c r="E18" s="50" t="s">
        <v>68</v>
      </c>
      <c r="F18" s="31" t="s">
        <v>69</v>
      </c>
    </row>
    <row r="19" spans="2:9" x14ac:dyDescent="0.3">
      <c r="B19" s="11">
        <v>50</v>
      </c>
      <c r="C19" s="12" t="s">
        <v>10</v>
      </c>
      <c r="D19" s="76">
        <v>351058</v>
      </c>
      <c r="E19" s="76">
        <v>454293</v>
      </c>
      <c r="F19" s="37">
        <f t="shared" ref="F19:F32" si="2">D19-E19</f>
        <v>-103235</v>
      </c>
      <c r="G19" t="s">
        <v>47</v>
      </c>
      <c r="H19" s="67"/>
      <c r="I19" s="68"/>
    </row>
    <row r="20" spans="2:9" x14ac:dyDescent="0.3">
      <c r="B20" s="14">
        <v>51</v>
      </c>
      <c r="C20" s="3" t="s">
        <v>11</v>
      </c>
      <c r="D20" s="73"/>
      <c r="E20" s="73"/>
      <c r="F20" s="38">
        <f t="shared" si="2"/>
        <v>0</v>
      </c>
      <c r="H20" s="67"/>
      <c r="I20" s="68"/>
    </row>
    <row r="21" spans="2:9" x14ac:dyDescent="0.3">
      <c r="B21" s="14">
        <v>52</v>
      </c>
      <c r="C21" s="3" t="s">
        <v>12</v>
      </c>
      <c r="D21" s="73"/>
      <c r="E21" s="75">
        <v>25090</v>
      </c>
      <c r="F21" s="38">
        <f t="shared" si="2"/>
        <v>-25090</v>
      </c>
      <c r="H21" s="67"/>
      <c r="I21" s="68"/>
    </row>
    <row r="22" spans="2:9" x14ac:dyDescent="0.3">
      <c r="B22" s="14">
        <v>53</v>
      </c>
      <c r="C22" s="3" t="s">
        <v>13</v>
      </c>
      <c r="D22" s="24">
        <v>600</v>
      </c>
      <c r="E22" s="24">
        <v>15844</v>
      </c>
      <c r="F22" s="38">
        <f t="shared" si="2"/>
        <v>-15244</v>
      </c>
      <c r="H22" s="67"/>
      <c r="I22" s="68"/>
    </row>
    <row r="23" spans="2:9" x14ac:dyDescent="0.3">
      <c r="B23" s="14">
        <v>54</v>
      </c>
      <c r="C23" s="3" t="s">
        <v>15</v>
      </c>
      <c r="D23" s="73"/>
      <c r="E23" s="73"/>
      <c r="F23" s="38">
        <f t="shared" si="2"/>
        <v>0</v>
      </c>
      <c r="H23" s="67"/>
      <c r="I23" s="68"/>
    </row>
    <row r="24" spans="2:9" x14ac:dyDescent="0.3">
      <c r="B24" s="14">
        <v>55</v>
      </c>
      <c r="C24" s="3" t="s">
        <v>14</v>
      </c>
      <c r="D24" s="73"/>
      <c r="E24" s="75">
        <v>7674</v>
      </c>
      <c r="F24" s="38">
        <f t="shared" si="2"/>
        <v>-7674</v>
      </c>
      <c r="H24" s="67"/>
      <c r="I24" s="68"/>
    </row>
    <row r="25" spans="2:9" x14ac:dyDescent="0.3">
      <c r="B25" s="14">
        <v>56</v>
      </c>
      <c r="C25" s="3" t="s">
        <v>16</v>
      </c>
      <c r="D25" s="73"/>
      <c r="E25" s="73"/>
      <c r="F25" s="38">
        <f t="shared" si="2"/>
        <v>0</v>
      </c>
      <c r="H25" s="67"/>
      <c r="I25" s="68"/>
    </row>
    <row r="26" spans="2:9" x14ac:dyDescent="0.3">
      <c r="B26" s="14">
        <v>57</v>
      </c>
      <c r="C26" s="3" t="s">
        <v>17</v>
      </c>
      <c r="D26" s="73"/>
      <c r="E26" s="73"/>
      <c r="F26" s="38">
        <f t="shared" si="2"/>
        <v>0</v>
      </c>
      <c r="H26" s="88"/>
      <c r="I26" s="68"/>
    </row>
    <row r="27" spans="2:9" x14ac:dyDescent="0.3">
      <c r="B27" s="14">
        <v>58</v>
      </c>
      <c r="C27" s="3" t="s">
        <v>18</v>
      </c>
      <c r="D27" s="75">
        <v>15800</v>
      </c>
      <c r="E27" s="75">
        <v>15430</v>
      </c>
      <c r="F27" s="38">
        <f t="shared" si="2"/>
        <v>370</v>
      </c>
    </row>
    <row r="28" spans="2:9" x14ac:dyDescent="0.3">
      <c r="B28" s="14">
        <v>59</v>
      </c>
      <c r="C28" s="3" t="s">
        <v>19</v>
      </c>
      <c r="D28" s="24"/>
      <c r="E28" s="24">
        <v>3814</v>
      </c>
      <c r="F28" s="38">
        <f t="shared" si="2"/>
        <v>-3814</v>
      </c>
    </row>
    <row r="29" spans="2:9" x14ac:dyDescent="0.3">
      <c r="B29" s="14">
        <v>60</v>
      </c>
      <c r="C29" s="3" t="s">
        <v>20</v>
      </c>
      <c r="D29" s="24"/>
      <c r="E29" s="24">
        <v>6050</v>
      </c>
      <c r="F29" s="38">
        <f t="shared" si="2"/>
        <v>-6050</v>
      </c>
      <c r="I29" s="22"/>
    </row>
    <row r="30" spans="2:9" x14ac:dyDescent="0.3">
      <c r="B30" s="14">
        <v>61</v>
      </c>
      <c r="C30" s="3" t="s">
        <v>26</v>
      </c>
      <c r="D30" s="75">
        <v>50000</v>
      </c>
      <c r="E30" s="75">
        <v>123025</v>
      </c>
      <c r="F30" s="38">
        <f t="shared" si="2"/>
        <v>-73025</v>
      </c>
    </row>
    <row r="31" spans="2:9" x14ac:dyDescent="0.3">
      <c r="B31" s="14">
        <v>61</v>
      </c>
      <c r="C31" s="3" t="s">
        <v>27</v>
      </c>
      <c r="D31" s="75">
        <v>50000</v>
      </c>
      <c r="E31" s="75">
        <v>100000</v>
      </c>
      <c r="F31" s="38">
        <f t="shared" si="2"/>
        <v>-50000</v>
      </c>
    </row>
    <row r="32" spans="2:9" ht="15" thickBot="1" x14ac:dyDescent="0.35">
      <c r="B32" s="16">
        <v>62</v>
      </c>
      <c r="C32" s="17" t="s">
        <v>21</v>
      </c>
      <c r="D32" s="74"/>
      <c r="E32" s="74"/>
      <c r="F32" s="39">
        <f t="shared" si="2"/>
        <v>0</v>
      </c>
    </row>
    <row r="33" spans="3:6" x14ac:dyDescent="0.3">
      <c r="C33" s="72" t="s">
        <v>76</v>
      </c>
      <c r="D33" s="62">
        <f>SUM(D19:D32)</f>
        <v>467458</v>
      </c>
      <c r="E33" s="62">
        <f>SUM(E19:E32)</f>
        <v>751220</v>
      </c>
      <c r="F33" s="62">
        <f>SUM(F19:F32)</f>
        <v>-283762</v>
      </c>
    </row>
    <row r="34" spans="3:6" ht="15" thickBot="1" x14ac:dyDescent="0.35">
      <c r="C34" s="52" t="s">
        <v>77</v>
      </c>
      <c r="D34">
        <v>109260</v>
      </c>
      <c r="E34" s="51">
        <v>94088</v>
      </c>
      <c r="F34" s="22">
        <f>D34-E34</f>
        <v>15172</v>
      </c>
    </row>
    <row r="35" spans="3:6" ht="18.600000000000001" thickBot="1" x14ac:dyDescent="0.4">
      <c r="C35" s="48" t="s">
        <v>48</v>
      </c>
      <c r="D35" s="45">
        <f>SUM(D33:D34)</f>
        <v>576718</v>
      </c>
      <c r="E35" s="45">
        <f>SUM(E33:E34)</f>
        <v>845308</v>
      </c>
      <c r="F35" s="46">
        <f>D35-E35</f>
        <v>-268590</v>
      </c>
    </row>
  </sheetData>
  <pageMargins left="0.70866141732283472" right="0.70866141732283472" top="0.39370078740157483" bottom="0.39370078740157483" header="0.31496062992125984" footer="0.31496062992125984"/>
  <pageSetup paperSize="9" orientation="landscape" verticalDpi="0" r:id="rId1"/>
  <ignoredErrors>
    <ignoredError sqref="F12:F13 F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6"/>
  <sheetViews>
    <sheetView workbookViewId="0">
      <selection activeCell="H23" sqref="H23"/>
    </sheetView>
  </sheetViews>
  <sheetFormatPr defaultRowHeight="14.4" x14ac:dyDescent="0.3"/>
  <cols>
    <col min="1" max="1" width="1.6640625" customWidth="1"/>
    <col min="2" max="2" width="9.33203125" bestFit="1" customWidth="1"/>
    <col min="3" max="3" width="15.44140625" bestFit="1" customWidth="1"/>
    <col min="4" max="4" width="38.88671875" bestFit="1" customWidth="1"/>
    <col min="5" max="6" width="13.33203125" bestFit="1" customWidth="1"/>
    <col min="7" max="7" width="12.33203125" bestFit="1" customWidth="1"/>
    <col min="8" max="8" width="11.5546875" bestFit="1" customWidth="1"/>
  </cols>
  <sheetData>
    <row r="1" spans="2:9" x14ac:dyDescent="0.3">
      <c r="B1" s="26" t="s">
        <v>1</v>
      </c>
      <c r="C1" s="27" t="s">
        <v>24</v>
      </c>
      <c r="D1" s="27" t="s">
        <v>3</v>
      </c>
      <c r="E1" s="27" t="s">
        <v>40</v>
      </c>
      <c r="F1" s="27" t="s">
        <v>40</v>
      </c>
      <c r="G1" s="27" t="s">
        <v>44</v>
      </c>
      <c r="H1" s="28" t="s">
        <v>46</v>
      </c>
    </row>
    <row r="2" spans="2:9" ht="15" thickBot="1" x14ac:dyDescent="0.35">
      <c r="B2" s="29" t="s">
        <v>2</v>
      </c>
      <c r="C2" s="30" t="s">
        <v>2</v>
      </c>
      <c r="D2" s="30" t="s">
        <v>2</v>
      </c>
      <c r="E2" s="30" t="s">
        <v>70</v>
      </c>
      <c r="F2" s="30" t="s">
        <v>71</v>
      </c>
      <c r="G2" s="30" t="s">
        <v>72</v>
      </c>
      <c r="H2" s="31" t="s">
        <v>79</v>
      </c>
    </row>
    <row r="3" spans="2:9" ht="15" thickBot="1" x14ac:dyDescent="0.35">
      <c r="B3" s="2"/>
      <c r="C3" s="2"/>
      <c r="D3" s="2"/>
      <c r="E3" s="20" t="s">
        <v>43</v>
      </c>
      <c r="F3" s="20" t="s">
        <v>42</v>
      </c>
      <c r="H3" s="69">
        <v>405019</v>
      </c>
    </row>
    <row r="4" spans="2:9" ht="15" thickBot="1" x14ac:dyDescent="0.35">
      <c r="B4" s="8" t="s">
        <v>92</v>
      </c>
      <c r="C4" s="81"/>
      <c r="D4" s="9" t="s">
        <v>94</v>
      </c>
      <c r="E4" s="77">
        <f>E36</f>
        <v>1784750</v>
      </c>
      <c r="F4" s="77">
        <f>F36</f>
        <v>1589455</v>
      </c>
      <c r="G4" s="32">
        <f>E4-F4</f>
        <v>195295</v>
      </c>
      <c r="H4" s="63">
        <f t="shared" ref="H4" si="0">G4</f>
        <v>195295</v>
      </c>
    </row>
    <row r="5" spans="2:9" ht="15" thickBot="1" x14ac:dyDescent="0.35">
      <c r="B5" s="8" t="s">
        <v>93</v>
      </c>
      <c r="C5" s="81"/>
      <c r="D5" s="9" t="s">
        <v>95</v>
      </c>
      <c r="E5" s="77">
        <f>SUM(E28:E34)</f>
        <v>137200</v>
      </c>
      <c r="F5" s="77">
        <f>SUM(F28:F34)</f>
        <v>112376</v>
      </c>
      <c r="G5" s="32">
        <f>E5-F5</f>
        <v>24824</v>
      </c>
      <c r="H5" s="71"/>
    </row>
    <row r="6" spans="2:9" ht="15" thickBot="1" x14ac:dyDescent="0.35">
      <c r="B6" s="2"/>
      <c r="C6" s="2"/>
      <c r="D6" s="66"/>
      <c r="E6" s="80"/>
      <c r="F6" s="80"/>
      <c r="G6" s="22"/>
      <c r="H6" s="71"/>
    </row>
    <row r="7" spans="2:9" ht="18.600000000000001" thickBot="1" x14ac:dyDescent="0.4">
      <c r="B7" s="2"/>
      <c r="C7" s="2"/>
      <c r="D7" s="48" t="s">
        <v>48</v>
      </c>
      <c r="E7" s="45">
        <f>SUM(E4:E4)</f>
        <v>1784750</v>
      </c>
      <c r="F7" s="45">
        <f>SUM(F4:F4)</f>
        <v>1589455</v>
      </c>
      <c r="G7" s="45">
        <f>E7-F7</f>
        <v>195295</v>
      </c>
      <c r="H7" s="47">
        <f>SUM(H3:H4)</f>
        <v>600314</v>
      </c>
      <c r="I7" s="22"/>
    </row>
    <row r="8" spans="2:9" x14ac:dyDescent="0.3">
      <c r="B8" s="2"/>
      <c r="C8" s="2"/>
      <c r="D8" s="2"/>
      <c r="H8" s="91" t="s">
        <v>46</v>
      </c>
      <c r="I8" s="22"/>
    </row>
    <row r="9" spans="2:9" ht="15" thickBot="1" x14ac:dyDescent="0.35">
      <c r="B9" s="2"/>
      <c r="C9" s="2"/>
      <c r="D9" s="2" t="s">
        <v>47</v>
      </c>
      <c r="H9" s="90" t="s">
        <v>73</v>
      </c>
    </row>
    <row r="10" spans="2:9" ht="15" thickBot="1" x14ac:dyDescent="0.35">
      <c r="B10" s="2"/>
      <c r="C10" s="2"/>
      <c r="D10" s="2"/>
    </row>
    <row r="11" spans="2:9" x14ac:dyDescent="0.3">
      <c r="B11" s="26" t="s">
        <v>1</v>
      </c>
      <c r="C11" s="27" t="s">
        <v>24</v>
      </c>
      <c r="D11" s="27" t="s">
        <v>3</v>
      </c>
      <c r="E11" s="49" t="s">
        <v>40</v>
      </c>
      <c r="F11" s="49" t="s">
        <v>40</v>
      </c>
      <c r="G11" s="28" t="s">
        <v>44</v>
      </c>
      <c r="H11" t="s">
        <v>47</v>
      </c>
    </row>
    <row r="12" spans="2:9" ht="15" thickBot="1" x14ac:dyDescent="0.35">
      <c r="B12" s="29" t="s">
        <v>2</v>
      </c>
      <c r="C12" s="30" t="s">
        <v>2</v>
      </c>
      <c r="D12" s="30" t="s">
        <v>2</v>
      </c>
      <c r="E12" s="50" t="s">
        <v>70</v>
      </c>
      <c r="F12" s="50" t="s">
        <v>71</v>
      </c>
      <c r="G12" s="31" t="s">
        <v>72</v>
      </c>
    </row>
    <row r="13" spans="2:9" x14ac:dyDescent="0.3">
      <c r="B13" s="11">
        <v>100</v>
      </c>
      <c r="C13" s="82">
        <v>1802.03</v>
      </c>
      <c r="D13" s="12" t="s">
        <v>10</v>
      </c>
      <c r="E13" s="83">
        <f>550900+143095+2455</f>
        <v>696450</v>
      </c>
      <c r="F13" s="83">
        <f>20832+2580+53171+9868+495+4600+56503+26786</f>
        <v>174835</v>
      </c>
      <c r="G13" s="37">
        <f t="shared" ref="G13:G34" si="1">E13-F13</f>
        <v>521615</v>
      </c>
    </row>
    <row r="14" spans="2:9" x14ac:dyDescent="0.3">
      <c r="B14" s="14"/>
      <c r="C14" s="84">
        <v>1802.04</v>
      </c>
      <c r="D14" s="3" t="s">
        <v>12</v>
      </c>
      <c r="E14" s="85">
        <f>117150</f>
        <v>117150</v>
      </c>
      <c r="F14" s="85">
        <f>5000+35008</f>
        <v>40008</v>
      </c>
      <c r="G14" s="38">
        <f t="shared" si="1"/>
        <v>77142</v>
      </c>
    </row>
    <row r="15" spans="2:9" x14ac:dyDescent="0.3">
      <c r="B15" s="14"/>
      <c r="C15" s="84" t="s">
        <v>82</v>
      </c>
      <c r="D15" s="3" t="s">
        <v>13</v>
      </c>
      <c r="E15" s="85">
        <f>6000+1000+800</f>
        <v>7800</v>
      </c>
      <c r="F15" s="85">
        <f>6818+15000+5000+18854+10150</f>
        <v>55822</v>
      </c>
      <c r="G15" s="38">
        <f t="shared" si="1"/>
        <v>-48022</v>
      </c>
    </row>
    <row r="16" spans="2:9" x14ac:dyDescent="0.3">
      <c r="B16" s="14"/>
      <c r="C16" s="84" t="s">
        <v>82</v>
      </c>
      <c r="D16" s="3" t="s">
        <v>18</v>
      </c>
      <c r="E16" s="85">
        <f>22100</f>
        <v>22100</v>
      </c>
      <c r="F16" s="85">
        <v>5000</v>
      </c>
      <c r="G16" s="38">
        <f t="shared" si="1"/>
        <v>17100</v>
      </c>
    </row>
    <row r="17" spans="2:12" x14ac:dyDescent="0.3">
      <c r="B17" s="14"/>
      <c r="C17" s="84" t="s">
        <v>83</v>
      </c>
      <c r="D17" s="3" t="s">
        <v>19</v>
      </c>
      <c r="E17" s="85"/>
      <c r="F17" s="85">
        <f>(80400+10180)/2</f>
        <v>45290</v>
      </c>
      <c r="G17" s="38">
        <f t="shared" si="1"/>
        <v>-45290</v>
      </c>
    </row>
    <row r="18" spans="2:12" x14ac:dyDescent="0.3">
      <c r="B18" s="14"/>
      <c r="C18" s="84" t="s">
        <v>83</v>
      </c>
      <c r="D18" s="3" t="s">
        <v>20</v>
      </c>
      <c r="E18" s="85"/>
      <c r="F18" s="85">
        <f>(80400+10180)/2</f>
        <v>45290</v>
      </c>
      <c r="G18" s="38">
        <f t="shared" si="1"/>
        <v>-45290</v>
      </c>
    </row>
    <row r="19" spans="2:12" x14ac:dyDescent="0.3">
      <c r="B19" s="14"/>
      <c r="C19" s="84" t="s">
        <v>84</v>
      </c>
      <c r="D19" s="3" t="s">
        <v>97</v>
      </c>
      <c r="E19" s="85">
        <v>250000</v>
      </c>
      <c r="F19" s="85">
        <f>57566+56543+200000</f>
        <v>314109</v>
      </c>
      <c r="G19" s="38">
        <f t="shared" si="1"/>
        <v>-64109</v>
      </c>
    </row>
    <row r="20" spans="2:12" x14ac:dyDescent="0.3">
      <c r="B20" s="14"/>
      <c r="C20" s="84" t="s">
        <v>84</v>
      </c>
      <c r="D20" s="3" t="s">
        <v>96</v>
      </c>
      <c r="E20" s="85">
        <v>250000</v>
      </c>
      <c r="F20" s="85">
        <f>38080+14364+260981</f>
        <v>313425</v>
      </c>
      <c r="G20" s="38">
        <f t="shared" si="1"/>
        <v>-63425</v>
      </c>
    </row>
    <row r="21" spans="2:12" x14ac:dyDescent="0.3">
      <c r="B21" s="14"/>
      <c r="C21" s="84" t="s">
        <v>81</v>
      </c>
      <c r="D21" s="3" t="s">
        <v>80</v>
      </c>
      <c r="E21" s="85">
        <f>9150+224950+32750+37200</f>
        <v>304050</v>
      </c>
      <c r="F21" s="85">
        <f>151942+45119+59120+2770+22256+35100+14675+149800</f>
        <v>480782</v>
      </c>
      <c r="G21" s="38">
        <f t="shared" si="1"/>
        <v>-176732</v>
      </c>
    </row>
    <row r="22" spans="2:12" x14ac:dyDescent="0.3">
      <c r="B22" s="14"/>
      <c r="C22" s="84" t="s">
        <v>85</v>
      </c>
      <c r="D22" s="3" t="s">
        <v>17</v>
      </c>
      <c r="E22" s="85"/>
      <c r="F22" s="85"/>
      <c r="G22" s="38">
        <f t="shared" si="1"/>
        <v>0</v>
      </c>
    </row>
    <row r="23" spans="2:12" x14ac:dyDescent="0.3">
      <c r="B23" s="14"/>
      <c r="C23" s="84" t="s">
        <v>87</v>
      </c>
      <c r="D23" s="3" t="s">
        <v>86</v>
      </c>
      <c r="E23" s="85"/>
      <c r="F23" s="85">
        <f>450+68</f>
        <v>518</v>
      </c>
      <c r="G23" s="38">
        <f t="shared" si="1"/>
        <v>-518</v>
      </c>
    </row>
    <row r="24" spans="2:12" x14ac:dyDescent="0.3">
      <c r="B24" s="14"/>
      <c r="C24" s="84" t="s">
        <v>87</v>
      </c>
      <c r="D24" s="3" t="s">
        <v>98</v>
      </c>
      <c r="E24" s="85"/>
      <c r="F24" s="85">
        <f>2000</f>
        <v>2000</v>
      </c>
      <c r="G24" s="38">
        <f t="shared" si="1"/>
        <v>-2000</v>
      </c>
    </row>
    <row r="25" spans="2:12" x14ac:dyDescent="0.3">
      <c r="B25" s="14"/>
      <c r="C25" s="84" t="s">
        <v>87</v>
      </c>
      <c r="D25" s="3" t="s">
        <v>16</v>
      </c>
      <c r="E25" s="85"/>
      <c r="F25" s="85"/>
      <c r="G25" s="38">
        <f t="shared" si="1"/>
        <v>0</v>
      </c>
    </row>
    <row r="26" spans="2:12" ht="15" thickBot="1" x14ac:dyDescent="0.35">
      <c r="B26" s="92">
        <v>100</v>
      </c>
      <c r="C26" s="93" t="s">
        <v>52</v>
      </c>
      <c r="D26" s="94"/>
      <c r="E26" s="95">
        <f>SUM(E13:E25)</f>
        <v>1647550</v>
      </c>
      <c r="F26" s="95">
        <f>SUM(F13:F25)</f>
        <v>1477079</v>
      </c>
      <c r="G26" s="96">
        <f>E26-F26</f>
        <v>170471</v>
      </c>
    </row>
    <row r="27" spans="2:12" ht="15" thickBot="1" x14ac:dyDescent="0.35">
      <c r="B27" s="8">
        <v>110</v>
      </c>
      <c r="C27" s="89" t="s">
        <v>88</v>
      </c>
      <c r="D27" s="9" t="s">
        <v>99</v>
      </c>
      <c r="E27" s="77">
        <v>1269950</v>
      </c>
      <c r="F27" s="77"/>
      <c r="G27" s="42">
        <f t="shared" si="1"/>
        <v>1269950</v>
      </c>
      <c r="L27" s="22"/>
    </row>
    <row r="28" spans="2:12" ht="15" thickBot="1" x14ac:dyDescent="0.35">
      <c r="B28" s="8">
        <v>800</v>
      </c>
      <c r="C28" s="86" t="s">
        <v>87</v>
      </c>
      <c r="D28" s="9" t="s">
        <v>89</v>
      </c>
      <c r="E28" s="87"/>
      <c r="F28" s="87"/>
      <c r="G28" s="42">
        <f t="shared" si="1"/>
        <v>0</v>
      </c>
      <c r="L28" s="22"/>
    </row>
    <row r="29" spans="2:12" ht="15" thickBot="1" x14ac:dyDescent="0.35">
      <c r="B29" s="8">
        <v>810</v>
      </c>
      <c r="C29" s="86" t="s">
        <v>90</v>
      </c>
      <c r="D29" s="9" t="s">
        <v>9</v>
      </c>
      <c r="E29" s="87">
        <v>86900</v>
      </c>
      <c r="F29" s="87">
        <f>27054+18031+296</f>
        <v>45381</v>
      </c>
      <c r="G29" s="42">
        <f t="shared" si="1"/>
        <v>41519</v>
      </c>
      <c r="L29" s="22"/>
    </row>
    <row r="30" spans="2:12" ht="15" thickBot="1" x14ac:dyDescent="0.35">
      <c r="B30" s="8">
        <v>820</v>
      </c>
      <c r="C30" s="86" t="s">
        <v>90</v>
      </c>
      <c r="D30" s="9" t="s">
        <v>91</v>
      </c>
      <c r="E30" s="87">
        <f>10000</f>
        <v>10000</v>
      </c>
      <c r="F30" s="87">
        <f>19156+13147+21900+2697</f>
        <v>56900</v>
      </c>
      <c r="G30" s="42">
        <f t="shared" si="1"/>
        <v>-46900</v>
      </c>
    </row>
    <row r="31" spans="2:12" ht="15" thickBot="1" x14ac:dyDescent="0.35">
      <c r="B31" s="8">
        <v>830</v>
      </c>
      <c r="C31" s="86" t="s">
        <v>90</v>
      </c>
      <c r="D31" s="9" t="s">
        <v>8</v>
      </c>
      <c r="E31" s="87">
        <f>21400</f>
        <v>21400</v>
      </c>
      <c r="F31" s="87">
        <f>1856+4000</f>
        <v>5856</v>
      </c>
      <c r="G31" s="42">
        <f t="shared" si="1"/>
        <v>15544</v>
      </c>
      <c r="L31" s="22"/>
    </row>
    <row r="32" spans="2:12" ht="15" thickBot="1" x14ac:dyDescent="0.35">
      <c r="B32" s="8">
        <v>840</v>
      </c>
      <c r="C32" s="86" t="s">
        <v>90</v>
      </c>
      <c r="D32" s="9" t="s">
        <v>7</v>
      </c>
      <c r="E32" s="87">
        <v>6700</v>
      </c>
      <c r="F32" s="87"/>
      <c r="G32" s="42">
        <f t="shared" si="1"/>
        <v>6700</v>
      </c>
      <c r="L32" s="22"/>
    </row>
    <row r="33" spans="2:12" ht="15" thickBot="1" x14ac:dyDescent="0.35">
      <c r="B33" s="8">
        <v>850</v>
      </c>
      <c r="C33" s="86" t="s">
        <v>90</v>
      </c>
      <c r="D33" s="9" t="s">
        <v>6</v>
      </c>
      <c r="E33" s="87">
        <v>12200</v>
      </c>
      <c r="F33" s="87">
        <v>4239</v>
      </c>
      <c r="G33" s="42">
        <f t="shared" si="1"/>
        <v>7961</v>
      </c>
      <c r="L33" s="22"/>
    </row>
    <row r="34" spans="2:12" ht="15" thickBot="1" x14ac:dyDescent="0.35">
      <c r="B34" s="8">
        <v>860</v>
      </c>
      <c r="C34" s="86" t="s">
        <v>90</v>
      </c>
      <c r="D34" s="9" t="s">
        <v>4</v>
      </c>
      <c r="E34" s="87"/>
      <c r="F34" s="87"/>
      <c r="G34" s="42">
        <f t="shared" si="1"/>
        <v>0</v>
      </c>
    </row>
    <row r="35" spans="2:12" ht="15" thickBot="1" x14ac:dyDescent="0.35">
      <c r="D35" s="52"/>
      <c r="E35" s="62"/>
      <c r="F35" s="62"/>
      <c r="G35" s="62"/>
    </row>
    <row r="36" spans="2:12" ht="18.600000000000001" thickBot="1" x14ac:dyDescent="0.4">
      <c r="D36" s="48" t="s">
        <v>48</v>
      </c>
      <c r="E36" s="45">
        <f>SUM(E26:E34)-E27</f>
        <v>1784750</v>
      </c>
      <c r="F36" s="45">
        <f>SUM(F26:F34)</f>
        <v>1589455</v>
      </c>
      <c r="G36" s="46">
        <f>E36-F36</f>
        <v>195295</v>
      </c>
    </row>
  </sheetData>
  <pageMargins left="0" right="0" top="0" bottom="0" header="0.31496062992125984" footer="0.31496062992125984"/>
  <pageSetup paperSize="9" orientation="landscape" verticalDpi="0" r:id="rId1"/>
  <ignoredErrors>
    <ignoredError sqref="E5:F5" formulaRange="1"/>
    <ignoredError sqref="C27:C34 C15:C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5"/>
  <sheetViews>
    <sheetView topLeftCell="A4" workbookViewId="0">
      <selection activeCell="C13" sqref="C13:C33"/>
    </sheetView>
  </sheetViews>
  <sheetFormatPr defaultRowHeight="14.4" x14ac:dyDescent="0.3"/>
  <cols>
    <col min="1" max="1" width="1.6640625" customWidth="1"/>
    <col min="2" max="2" width="9.33203125" bestFit="1" customWidth="1"/>
    <col min="3" max="3" width="15.44140625" bestFit="1" customWidth="1"/>
    <col min="4" max="4" width="38.6640625" bestFit="1" customWidth="1"/>
    <col min="5" max="6" width="13.33203125" bestFit="1" customWidth="1"/>
    <col min="7" max="7" width="12.33203125" bestFit="1" customWidth="1"/>
    <col min="8" max="8" width="11.5546875" bestFit="1" customWidth="1"/>
  </cols>
  <sheetData>
    <row r="1" spans="2:8" x14ac:dyDescent="0.3">
      <c r="B1" s="26" t="s">
        <v>1</v>
      </c>
      <c r="C1" s="27" t="s">
        <v>24</v>
      </c>
      <c r="D1" s="27" t="s">
        <v>3</v>
      </c>
      <c r="E1" s="27" t="s">
        <v>40</v>
      </c>
      <c r="F1" s="27" t="s">
        <v>40</v>
      </c>
      <c r="G1" s="27" t="s">
        <v>44</v>
      </c>
      <c r="H1" s="28" t="s">
        <v>46</v>
      </c>
    </row>
    <row r="2" spans="2:8" ht="15" thickBot="1" x14ac:dyDescent="0.35">
      <c r="B2" s="29" t="s">
        <v>2</v>
      </c>
      <c r="C2" s="30" t="s">
        <v>2</v>
      </c>
      <c r="D2" s="30" t="s">
        <v>2</v>
      </c>
      <c r="E2" s="30" t="s">
        <v>106</v>
      </c>
      <c r="F2" s="30" t="s">
        <v>105</v>
      </c>
      <c r="G2" s="30" t="s">
        <v>100</v>
      </c>
      <c r="H2" s="31" t="s">
        <v>101</v>
      </c>
    </row>
    <row r="3" spans="2:8" ht="15" thickBot="1" x14ac:dyDescent="0.35">
      <c r="B3" s="2"/>
      <c r="C3" s="2"/>
      <c r="D3" s="2"/>
      <c r="E3" s="20" t="s">
        <v>43</v>
      </c>
      <c r="F3" s="20" t="s">
        <v>42</v>
      </c>
      <c r="H3" s="69">
        <f>588258+36085</f>
        <v>624343</v>
      </c>
    </row>
    <row r="4" spans="2:8" ht="15" thickBot="1" x14ac:dyDescent="0.35">
      <c r="B4" s="8" t="s">
        <v>92</v>
      </c>
      <c r="C4" s="81"/>
      <c r="D4" s="9" t="s">
        <v>94</v>
      </c>
      <c r="E4" s="77">
        <f>E35</f>
        <v>1925617</v>
      </c>
      <c r="F4" s="77">
        <f>F35</f>
        <v>1832918.7</v>
      </c>
      <c r="G4" s="32">
        <f>E4-F4</f>
        <v>92698.300000000047</v>
      </c>
      <c r="H4" s="63">
        <f t="shared" ref="H4" si="0">G4</f>
        <v>92698.300000000047</v>
      </c>
    </row>
    <row r="5" spans="2:8" ht="15" thickBot="1" x14ac:dyDescent="0.35">
      <c r="B5" s="8" t="s">
        <v>93</v>
      </c>
      <c r="C5" s="81"/>
      <c r="D5" s="9" t="s">
        <v>95</v>
      </c>
      <c r="E5" s="77">
        <f>SUM(E27:E33)</f>
        <v>0</v>
      </c>
      <c r="F5" s="77">
        <f>SUM(F27:F33)</f>
        <v>258398</v>
      </c>
      <c r="G5" s="32">
        <f>E5-F5</f>
        <v>-258398</v>
      </c>
      <c r="H5" s="97"/>
    </row>
    <row r="6" spans="2:8" ht="15" thickBot="1" x14ac:dyDescent="0.35">
      <c r="B6" s="2"/>
      <c r="C6" s="2"/>
      <c r="D6" s="66"/>
      <c r="E6" s="80"/>
      <c r="F6" s="80"/>
      <c r="G6" s="22"/>
      <c r="H6" s="71"/>
    </row>
    <row r="7" spans="2:8" ht="18.600000000000001" thickBot="1" x14ac:dyDescent="0.4">
      <c r="B7" s="2"/>
      <c r="C7" s="2"/>
      <c r="D7" s="48" t="s">
        <v>48</v>
      </c>
      <c r="E7" s="45">
        <f>SUM(E4:E4)</f>
        <v>1925617</v>
      </c>
      <c r="F7" s="45">
        <f>SUM(F4:F4)</f>
        <v>1832918.7</v>
      </c>
      <c r="G7" s="45">
        <f>E7-F7</f>
        <v>92698.300000000047</v>
      </c>
      <c r="H7" s="47">
        <f>SUM(H3:H4)</f>
        <v>717041.3</v>
      </c>
    </row>
    <row r="8" spans="2:8" x14ac:dyDescent="0.3">
      <c r="B8" s="2"/>
      <c r="C8" s="2"/>
      <c r="D8" s="2"/>
      <c r="H8" s="91" t="s">
        <v>46</v>
      </c>
    </row>
    <row r="9" spans="2:8" ht="15" thickBot="1" x14ac:dyDescent="0.35">
      <c r="B9" s="2"/>
      <c r="C9" s="2"/>
      <c r="D9" s="2" t="s">
        <v>47</v>
      </c>
      <c r="H9" s="90" t="s">
        <v>104</v>
      </c>
    </row>
    <row r="10" spans="2:8" ht="15" thickBot="1" x14ac:dyDescent="0.35">
      <c r="B10" s="2"/>
      <c r="C10" s="2"/>
      <c r="D10" s="2"/>
    </row>
    <row r="11" spans="2:8" x14ac:dyDescent="0.3">
      <c r="B11" s="26" t="s">
        <v>1</v>
      </c>
      <c r="C11" s="27" t="s">
        <v>24</v>
      </c>
      <c r="D11" s="27" t="s">
        <v>3</v>
      </c>
      <c r="E11" s="27" t="s">
        <v>40</v>
      </c>
      <c r="F11" s="27" t="s">
        <v>40</v>
      </c>
      <c r="G11" s="28" t="s">
        <v>44</v>
      </c>
      <c r="H11" t="s">
        <v>47</v>
      </c>
    </row>
    <row r="12" spans="2:8" ht="15" thickBot="1" x14ac:dyDescent="0.35">
      <c r="B12" s="29" t="s">
        <v>2</v>
      </c>
      <c r="C12" s="30" t="s">
        <v>2</v>
      </c>
      <c r="D12" s="30" t="s">
        <v>2</v>
      </c>
      <c r="E12" s="30" t="s">
        <v>106</v>
      </c>
      <c r="F12" s="30" t="s">
        <v>105</v>
      </c>
      <c r="G12" s="31" t="s">
        <v>100</v>
      </c>
    </row>
    <row r="13" spans="2:8" x14ac:dyDescent="0.3">
      <c r="B13" s="11">
        <v>100</v>
      </c>
      <c r="C13" s="82" t="s">
        <v>117</v>
      </c>
      <c r="D13" s="12" t="s">
        <v>10</v>
      </c>
      <c r="E13" s="83">
        <f>521617</f>
        <v>521617</v>
      </c>
      <c r="F13" s="83">
        <f>223997.2+87874.5</f>
        <v>311871.7</v>
      </c>
      <c r="G13" s="37">
        <f t="shared" ref="G13:G33" si="1">E13-F13</f>
        <v>209745.3</v>
      </c>
    </row>
    <row r="14" spans="2:8" x14ac:dyDescent="0.3">
      <c r="B14" s="14"/>
      <c r="C14" s="84" t="s">
        <v>118</v>
      </c>
      <c r="D14" s="3" t="s">
        <v>12</v>
      </c>
      <c r="E14" s="85">
        <f>56000</f>
        <v>56000</v>
      </c>
      <c r="F14" s="85">
        <f>21780</f>
        <v>21780</v>
      </c>
      <c r="G14" s="38">
        <f t="shared" si="1"/>
        <v>34220</v>
      </c>
    </row>
    <row r="15" spans="2:8" x14ac:dyDescent="0.3">
      <c r="B15" s="14"/>
      <c r="C15" s="84" t="s">
        <v>119</v>
      </c>
      <c r="D15" s="3" t="s">
        <v>13</v>
      </c>
      <c r="E15" s="85">
        <f>15000+2600</f>
        <v>17600</v>
      </c>
      <c r="F15" s="85">
        <f>44617+19119+6108</f>
        <v>69844</v>
      </c>
      <c r="G15" s="38">
        <f t="shared" si="1"/>
        <v>-52244</v>
      </c>
    </row>
    <row r="16" spans="2:8" x14ac:dyDescent="0.3">
      <c r="B16" s="14"/>
      <c r="C16" s="84" t="s">
        <v>82</v>
      </c>
      <c r="D16" s="3" t="s">
        <v>18</v>
      </c>
      <c r="E16" s="85">
        <v>28500</v>
      </c>
      <c r="F16" s="85">
        <v>2000</v>
      </c>
      <c r="G16" s="38">
        <f t="shared" si="1"/>
        <v>26500</v>
      </c>
    </row>
    <row r="17" spans="2:7" x14ac:dyDescent="0.3">
      <c r="B17" s="14"/>
      <c r="C17" s="84" t="s">
        <v>122</v>
      </c>
      <c r="D17" s="3" t="s">
        <v>107</v>
      </c>
      <c r="E17" s="85">
        <v>115000</v>
      </c>
      <c r="F17" s="85">
        <f>10568</f>
        <v>10568</v>
      </c>
      <c r="G17" s="38">
        <f t="shared" si="1"/>
        <v>104432</v>
      </c>
    </row>
    <row r="18" spans="2:7" x14ac:dyDescent="0.3">
      <c r="B18" s="14"/>
      <c r="C18" s="84" t="s">
        <v>123</v>
      </c>
      <c r="D18" s="3" t="s">
        <v>108</v>
      </c>
      <c r="E18" s="85">
        <v>250000</v>
      </c>
      <c r="F18" s="85">
        <f>222795+198865/2</f>
        <v>322227.5</v>
      </c>
      <c r="G18" s="38">
        <f t="shared" si="1"/>
        <v>-72227.5</v>
      </c>
    </row>
    <row r="19" spans="2:7" x14ac:dyDescent="0.3">
      <c r="B19" s="14"/>
      <c r="C19" s="84" t="s">
        <v>123</v>
      </c>
      <c r="D19" s="3" t="s">
        <v>109</v>
      </c>
      <c r="E19" s="85">
        <v>250000</v>
      </c>
      <c r="F19" s="85">
        <f>187639+198865/2</f>
        <v>287071.5</v>
      </c>
      <c r="G19" s="38">
        <f t="shared" si="1"/>
        <v>-37071.5</v>
      </c>
    </row>
    <row r="20" spans="2:7" x14ac:dyDescent="0.3">
      <c r="B20" s="14"/>
      <c r="C20" s="84" t="s">
        <v>124</v>
      </c>
      <c r="D20" s="3" t="s">
        <v>80</v>
      </c>
      <c r="E20" s="85">
        <f>327550+359350</f>
        <v>686900</v>
      </c>
      <c r="F20" s="85">
        <f>255272+269094</f>
        <v>524366</v>
      </c>
      <c r="G20" s="38">
        <f t="shared" si="1"/>
        <v>162534</v>
      </c>
    </row>
    <row r="21" spans="2:7" x14ac:dyDescent="0.3">
      <c r="B21" s="14"/>
      <c r="C21" s="84" t="s">
        <v>125</v>
      </c>
      <c r="D21" s="3" t="s">
        <v>110</v>
      </c>
      <c r="E21" s="85"/>
      <c r="F21" s="85">
        <v>5500</v>
      </c>
      <c r="G21" s="38">
        <f t="shared" si="1"/>
        <v>-5500</v>
      </c>
    </row>
    <row r="22" spans="2:7" x14ac:dyDescent="0.3">
      <c r="B22" s="14"/>
      <c r="C22" s="84" t="s">
        <v>121</v>
      </c>
      <c r="D22" s="3" t="s">
        <v>86</v>
      </c>
      <c r="E22" s="85"/>
      <c r="F22" s="85">
        <v>19292</v>
      </c>
      <c r="G22" s="38">
        <f t="shared" si="1"/>
        <v>-19292</v>
      </c>
    </row>
    <row r="23" spans="2:7" x14ac:dyDescent="0.3">
      <c r="B23" s="14"/>
      <c r="C23" s="84" t="s">
        <v>121</v>
      </c>
      <c r="D23" s="3" t="s">
        <v>98</v>
      </c>
      <c r="E23" s="85"/>
      <c r="F23" s="85"/>
      <c r="G23" s="38">
        <f t="shared" si="1"/>
        <v>0</v>
      </c>
    </row>
    <row r="24" spans="2:7" x14ac:dyDescent="0.3">
      <c r="B24" s="14"/>
      <c r="C24" s="84" t="s">
        <v>121</v>
      </c>
      <c r="D24" s="3" t="s">
        <v>16</v>
      </c>
      <c r="E24" s="85"/>
      <c r="F24" s="85"/>
      <c r="G24" s="38">
        <f t="shared" si="1"/>
        <v>0</v>
      </c>
    </row>
    <row r="25" spans="2:7" ht="15" thickBot="1" x14ac:dyDescent="0.35">
      <c r="B25" s="92">
        <v>100</v>
      </c>
      <c r="C25" s="93" t="s">
        <v>52</v>
      </c>
      <c r="D25" s="94"/>
      <c r="E25" s="95">
        <f>SUM(E13:E24)</f>
        <v>1925617</v>
      </c>
      <c r="F25" s="95">
        <f>SUM(F13:F24)</f>
        <v>1574520.7</v>
      </c>
      <c r="G25" s="96">
        <f>E25-F25</f>
        <v>351096.30000000005</v>
      </c>
    </row>
    <row r="26" spans="2:7" ht="15" thickBot="1" x14ac:dyDescent="0.35">
      <c r="B26" s="8">
        <v>110</v>
      </c>
      <c r="C26" s="89" t="s">
        <v>120</v>
      </c>
      <c r="D26" s="9" t="s">
        <v>103</v>
      </c>
      <c r="E26" s="77">
        <f>784550+15000+325000+58000+500000</f>
        <v>1682550</v>
      </c>
      <c r="F26" s="77"/>
      <c r="G26" s="42">
        <f t="shared" si="1"/>
        <v>1682550</v>
      </c>
    </row>
    <row r="27" spans="2:7" ht="15" thickBot="1" x14ac:dyDescent="0.35">
      <c r="B27" s="8">
        <v>800</v>
      </c>
      <c r="C27" s="86" t="s">
        <v>121</v>
      </c>
      <c r="D27" s="9" t="s">
        <v>102</v>
      </c>
      <c r="E27" s="87"/>
      <c r="F27" s="87">
        <f>8232+11577+7607+28308+76560</f>
        <v>132284</v>
      </c>
      <c r="G27" s="42">
        <f t="shared" si="1"/>
        <v>-132284</v>
      </c>
    </row>
    <row r="28" spans="2:7" ht="15" thickBot="1" x14ac:dyDescent="0.35">
      <c r="B28" s="8">
        <v>810</v>
      </c>
      <c r="C28" s="86" t="s">
        <v>117</v>
      </c>
      <c r="D28" s="9" t="s">
        <v>9</v>
      </c>
      <c r="E28" s="87"/>
      <c r="F28" s="87">
        <v>23405</v>
      </c>
      <c r="G28" s="42">
        <f t="shared" si="1"/>
        <v>-23405</v>
      </c>
    </row>
    <row r="29" spans="2:7" ht="15" thickBot="1" x14ac:dyDescent="0.35">
      <c r="B29" s="8">
        <v>820</v>
      </c>
      <c r="C29" s="86" t="s">
        <v>117</v>
      </c>
      <c r="D29" s="9" t="s">
        <v>91</v>
      </c>
      <c r="E29" s="87"/>
      <c r="F29" s="87">
        <v>96363</v>
      </c>
      <c r="G29" s="42">
        <f t="shared" si="1"/>
        <v>-96363</v>
      </c>
    </row>
    <row r="30" spans="2:7" ht="15" thickBot="1" x14ac:dyDescent="0.35">
      <c r="B30" s="8">
        <v>830</v>
      </c>
      <c r="C30" s="86" t="s">
        <v>117</v>
      </c>
      <c r="D30" s="9" t="s">
        <v>8</v>
      </c>
      <c r="E30" s="87"/>
      <c r="F30" s="87"/>
      <c r="G30" s="42">
        <f t="shared" si="1"/>
        <v>0</v>
      </c>
    </row>
    <row r="31" spans="2:7" ht="15" thickBot="1" x14ac:dyDescent="0.35">
      <c r="B31" s="8">
        <v>840</v>
      </c>
      <c r="C31" s="86" t="s">
        <v>117</v>
      </c>
      <c r="D31" s="9" t="s">
        <v>7</v>
      </c>
      <c r="E31" s="87"/>
      <c r="F31" s="87"/>
      <c r="G31" s="42">
        <f t="shared" si="1"/>
        <v>0</v>
      </c>
    </row>
    <row r="32" spans="2:7" ht="15" thickBot="1" x14ac:dyDescent="0.35">
      <c r="B32" s="8">
        <v>850</v>
      </c>
      <c r="C32" s="86" t="s">
        <v>117</v>
      </c>
      <c r="D32" s="9" t="s">
        <v>6</v>
      </c>
      <c r="E32" s="87"/>
      <c r="F32" s="87">
        <v>6346</v>
      </c>
      <c r="G32" s="42">
        <f t="shared" si="1"/>
        <v>-6346</v>
      </c>
    </row>
    <row r="33" spans="2:7" ht="15" thickBot="1" x14ac:dyDescent="0.35">
      <c r="B33" s="8">
        <v>860</v>
      </c>
      <c r="C33" s="86" t="s">
        <v>117</v>
      </c>
      <c r="D33" s="9" t="s">
        <v>4</v>
      </c>
      <c r="E33" s="87"/>
      <c r="F33" s="87"/>
      <c r="G33" s="42">
        <f t="shared" si="1"/>
        <v>0</v>
      </c>
    </row>
    <row r="34" spans="2:7" ht="15" thickBot="1" x14ac:dyDescent="0.35">
      <c r="D34" s="52"/>
      <c r="E34" s="62"/>
      <c r="F34" s="62"/>
      <c r="G34" s="62"/>
    </row>
    <row r="35" spans="2:7" ht="18.600000000000001" thickBot="1" x14ac:dyDescent="0.4">
      <c r="D35" s="48" t="s">
        <v>48</v>
      </c>
      <c r="E35" s="45">
        <f>SUM(E25:E33)-E26</f>
        <v>1925617</v>
      </c>
      <c r="F35" s="45">
        <f>SUM(F25:F33)</f>
        <v>1832918.7</v>
      </c>
      <c r="G35" s="46">
        <f>E35-F35</f>
        <v>92698.300000000047</v>
      </c>
    </row>
  </sheetData>
  <pageMargins left="0.70866141732283472" right="0.70866141732283472" top="0" bottom="0" header="0.31496062992125984" footer="0.31496062992125984"/>
  <pageSetup paperSize="9" orientation="landscape" verticalDpi="0" r:id="rId1"/>
  <ignoredErrors>
    <ignoredError sqref="C16 C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6145-13C8-4349-82BF-98CD7FFF5C0A}">
  <dimension ref="B1:H35"/>
  <sheetViews>
    <sheetView workbookViewId="0">
      <selection activeCell="F37" sqref="F37"/>
    </sheetView>
  </sheetViews>
  <sheetFormatPr defaultRowHeight="14.4" x14ac:dyDescent="0.3"/>
  <cols>
    <col min="1" max="1" width="1.6640625" customWidth="1"/>
    <col min="2" max="2" width="9.33203125" bestFit="1" customWidth="1"/>
    <col min="3" max="3" width="15.44140625" bestFit="1" customWidth="1"/>
    <col min="4" max="4" width="38.6640625" bestFit="1" customWidth="1"/>
    <col min="5" max="6" width="13.33203125" bestFit="1" customWidth="1"/>
    <col min="7" max="7" width="12.33203125" bestFit="1" customWidth="1"/>
    <col min="8" max="8" width="13.33203125" bestFit="1" customWidth="1"/>
  </cols>
  <sheetData>
    <row r="1" spans="2:8" x14ac:dyDescent="0.3">
      <c r="B1" s="26" t="s">
        <v>1</v>
      </c>
      <c r="C1" s="27" t="s">
        <v>24</v>
      </c>
      <c r="D1" s="27" t="s">
        <v>3</v>
      </c>
      <c r="E1" s="27" t="s">
        <v>40</v>
      </c>
      <c r="F1" s="27" t="s">
        <v>40</v>
      </c>
      <c r="G1" s="27" t="s">
        <v>44</v>
      </c>
      <c r="H1" s="28" t="s">
        <v>46</v>
      </c>
    </row>
    <row r="2" spans="2:8" ht="15" thickBot="1" x14ac:dyDescent="0.35">
      <c r="B2" s="29" t="s">
        <v>2</v>
      </c>
      <c r="C2" s="30" t="s">
        <v>2</v>
      </c>
      <c r="D2" s="30" t="s">
        <v>2</v>
      </c>
      <c r="E2" s="30" t="s">
        <v>111</v>
      </c>
      <c r="F2" s="30" t="s">
        <v>112</v>
      </c>
      <c r="G2" s="30" t="s">
        <v>113</v>
      </c>
      <c r="H2" s="31" t="s">
        <v>114</v>
      </c>
    </row>
    <row r="3" spans="2:8" ht="15" thickBot="1" x14ac:dyDescent="0.35">
      <c r="B3" s="2"/>
      <c r="C3" s="2"/>
      <c r="D3" s="2"/>
      <c r="E3" s="20" t="s">
        <v>43</v>
      </c>
      <c r="F3" s="20" t="s">
        <v>42</v>
      </c>
      <c r="H3" s="69">
        <f>709458+7583</f>
        <v>717041</v>
      </c>
    </row>
    <row r="4" spans="2:8" ht="15" thickBot="1" x14ac:dyDescent="0.35">
      <c r="B4" s="8" t="s">
        <v>92</v>
      </c>
      <c r="C4" s="81"/>
      <c r="D4" s="9" t="s">
        <v>94</v>
      </c>
      <c r="E4" s="77">
        <f>E35</f>
        <v>1797800</v>
      </c>
      <c r="F4" s="77">
        <f>F35</f>
        <v>1618586.5</v>
      </c>
      <c r="G4" s="32">
        <f>E4-F4</f>
        <v>179213.5</v>
      </c>
      <c r="H4" s="63">
        <f t="shared" ref="H4" si="0">G4</f>
        <v>179213.5</v>
      </c>
    </row>
    <row r="5" spans="2:8" ht="15" thickBot="1" x14ac:dyDescent="0.35">
      <c r="B5" s="8" t="s">
        <v>93</v>
      </c>
      <c r="C5" s="81"/>
      <c r="D5" s="9" t="s">
        <v>95</v>
      </c>
      <c r="E5" s="77">
        <f>SUM(E27:E33)</f>
        <v>0</v>
      </c>
      <c r="F5" s="77">
        <f>SUM(F27:F33)</f>
        <v>80639</v>
      </c>
      <c r="G5" s="32">
        <f>E5-F5</f>
        <v>-80639</v>
      </c>
      <c r="H5" s="97"/>
    </row>
    <row r="6" spans="2:8" ht="15" thickBot="1" x14ac:dyDescent="0.35">
      <c r="B6" s="2"/>
      <c r="C6" s="2"/>
      <c r="D6" s="66"/>
      <c r="E6" s="80"/>
      <c r="F6" s="80"/>
      <c r="G6" s="22"/>
      <c r="H6" s="71"/>
    </row>
    <row r="7" spans="2:8" ht="18.600000000000001" thickBot="1" x14ac:dyDescent="0.4">
      <c r="B7" s="2"/>
      <c r="C7" s="2"/>
      <c r="D7" s="48" t="s">
        <v>48</v>
      </c>
      <c r="E7" s="45">
        <f>SUM(E4:E4)</f>
        <v>1797800</v>
      </c>
      <c r="F7" s="45">
        <f>SUM(F4:F4)</f>
        <v>1618586.5</v>
      </c>
      <c r="G7" s="45">
        <f>E7-F7</f>
        <v>179213.5</v>
      </c>
      <c r="H7" s="47">
        <f>SUM(H3:H4)</f>
        <v>896254.5</v>
      </c>
    </row>
    <row r="8" spans="2:8" x14ac:dyDescent="0.3">
      <c r="B8" s="2"/>
      <c r="C8" s="2"/>
      <c r="D8" s="2"/>
      <c r="H8" s="91" t="s">
        <v>46</v>
      </c>
    </row>
    <row r="9" spans="2:8" ht="15" thickBot="1" x14ac:dyDescent="0.35">
      <c r="B9" s="2"/>
      <c r="C9" s="2"/>
      <c r="D9" s="2" t="s">
        <v>47</v>
      </c>
      <c r="H9" s="90" t="s">
        <v>115</v>
      </c>
    </row>
    <row r="10" spans="2:8" ht="15" thickBot="1" x14ac:dyDescent="0.35">
      <c r="B10" s="2"/>
      <c r="C10" s="2"/>
      <c r="D10" s="2"/>
    </row>
    <row r="11" spans="2:8" x14ac:dyDescent="0.3">
      <c r="B11" s="26" t="s">
        <v>1</v>
      </c>
      <c r="C11" s="27" t="s">
        <v>24</v>
      </c>
      <c r="D11" s="27" t="s">
        <v>3</v>
      </c>
      <c r="E11" s="27" t="s">
        <v>40</v>
      </c>
      <c r="F11" s="27" t="s">
        <v>40</v>
      </c>
      <c r="G11" s="28" t="s">
        <v>44</v>
      </c>
      <c r="H11" t="s">
        <v>47</v>
      </c>
    </row>
    <row r="12" spans="2:8" ht="15" thickBot="1" x14ac:dyDescent="0.35">
      <c r="B12" s="29" t="s">
        <v>2</v>
      </c>
      <c r="C12" s="30" t="s">
        <v>2</v>
      </c>
      <c r="D12" s="30" t="s">
        <v>2</v>
      </c>
      <c r="E12" s="30" t="s">
        <v>111</v>
      </c>
      <c r="F12" s="30" t="s">
        <v>112</v>
      </c>
      <c r="G12" s="31" t="s">
        <v>113</v>
      </c>
    </row>
    <row r="13" spans="2:8" x14ac:dyDescent="0.3">
      <c r="B13" s="11">
        <v>100</v>
      </c>
      <c r="C13" s="82" t="s">
        <v>117</v>
      </c>
      <c r="D13" s="12" t="s">
        <v>10</v>
      </c>
      <c r="E13" s="83">
        <v>702800</v>
      </c>
      <c r="F13" s="83">
        <f>537+270294.8+4000</f>
        <v>274831.8</v>
      </c>
      <c r="G13" s="37">
        <f t="shared" ref="G13:G33" si="1">E13-F13</f>
        <v>427968.2</v>
      </c>
    </row>
    <row r="14" spans="2:8" x14ac:dyDescent="0.3">
      <c r="B14" s="14"/>
      <c r="C14" s="84" t="s">
        <v>118</v>
      </c>
      <c r="D14" s="3" t="s">
        <v>12</v>
      </c>
      <c r="E14" s="85">
        <v>70400</v>
      </c>
      <c r="F14" s="85">
        <f>73799.6+284.9</f>
        <v>74084.5</v>
      </c>
      <c r="G14" s="38">
        <f t="shared" si="1"/>
        <v>-3684.5</v>
      </c>
    </row>
    <row r="15" spans="2:8" x14ac:dyDescent="0.3">
      <c r="B15" s="14"/>
      <c r="C15" s="84" t="s">
        <v>119</v>
      </c>
      <c r="D15" s="3" t="s">
        <v>13</v>
      </c>
      <c r="E15" s="85">
        <v>9600</v>
      </c>
      <c r="F15" s="85">
        <v>54952</v>
      </c>
      <c r="G15" s="38">
        <f t="shared" si="1"/>
        <v>-45352</v>
      </c>
    </row>
    <row r="16" spans="2:8" x14ac:dyDescent="0.3">
      <c r="B16" s="14"/>
      <c r="C16" s="84" t="s">
        <v>82</v>
      </c>
      <c r="D16" s="3" t="s">
        <v>18</v>
      </c>
      <c r="E16" s="85"/>
      <c r="F16" s="85"/>
      <c r="G16" s="38">
        <f t="shared" si="1"/>
        <v>0</v>
      </c>
    </row>
    <row r="17" spans="2:7" x14ac:dyDescent="0.3">
      <c r="B17" s="14"/>
      <c r="C17" s="84" t="s">
        <v>122</v>
      </c>
      <c r="D17" s="3" t="s">
        <v>107</v>
      </c>
      <c r="E17" s="85">
        <f>380000</f>
        <v>380000</v>
      </c>
      <c r="F17" s="85">
        <f>380499+252+95+32334</f>
        <v>413180</v>
      </c>
      <c r="G17" s="38">
        <f t="shared" si="1"/>
        <v>-33180</v>
      </c>
    </row>
    <row r="18" spans="2:7" x14ac:dyDescent="0.3">
      <c r="B18" s="14"/>
      <c r="C18" s="84" t="s">
        <v>123</v>
      </c>
      <c r="D18" s="3" t="s">
        <v>108</v>
      </c>
      <c r="E18" s="85">
        <v>200000</v>
      </c>
      <c r="F18" s="85">
        <f>(104783.4+96170)/2+147808.8</f>
        <v>248285.5</v>
      </c>
      <c r="G18" s="38">
        <f t="shared" si="1"/>
        <v>-48285.5</v>
      </c>
    </row>
    <row r="19" spans="2:7" x14ac:dyDescent="0.3">
      <c r="B19" s="14"/>
      <c r="C19" s="84" t="s">
        <v>123</v>
      </c>
      <c r="D19" s="3" t="s">
        <v>109</v>
      </c>
      <c r="E19" s="85">
        <v>200000</v>
      </c>
      <c r="F19" s="85">
        <f>(104783.4+96170)/2+109453</f>
        <v>209929.7</v>
      </c>
      <c r="G19" s="38">
        <f t="shared" si="1"/>
        <v>-9929.7000000000116</v>
      </c>
    </row>
    <row r="20" spans="2:7" x14ac:dyDescent="0.3">
      <c r="B20" s="14"/>
      <c r="C20" s="84" t="s">
        <v>124</v>
      </c>
      <c r="D20" s="3" t="s">
        <v>80</v>
      </c>
      <c r="E20" s="85">
        <f>200000+35000</f>
        <v>235000</v>
      </c>
      <c r="F20" s="85">
        <f>202559</f>
        <v>202559</v>
      </c>
      <c r="G20" s="38">
        <f t="shared" si="1"/>
        <v>32441</v>
      </c>
    </row>
    <row r="21" spans="2:7" x14ac:dyDescent="0.3">
      <c r="B21" s="14"/>
      <c r="C21" s="84" t="s">
        <v>125</v>
      </c>
      <c r="D21" s="3" t="s">
        <v>110</v>
      </c>
      <c r="E21" s="85"/>
      <c r="F21" s="85"/>
      <c r="G21" s="38">
        <f t="shared" si="1"/>
        <v>0</v>
      </c>
    </row>
    <row r="22" spans="2:7" x14ac:dyDescent="0.3">
      <c r="B22" s="14"/>
      <c r="C22" s="84" t="s">
        <v>121</v>
      </c>
      <c r="D22" s="3" t="s">
        <v>86</v>
      </c>
      <c r="E22" s="85"/>
      <c r="F22" s="85">
        <v>58125</v>
      </c>
      <c r="G22" s="38">
        <f t="shared" si="1"/>
        <v>-58125</v>
      </c>
    </row>
    <row r="23" spans="2:7" x14ac:dyDescent="0.3">
      <c r="B23" s="14"/>
      <c r="C23" s="84" t="s">
        <v>121</v>
      </c>
      <c r="D23" s="3" t="s">
        <v>98</v>
      </c>
      <c r="E23" s="85"/>
      <c r="F23" s="85">
        <v>2000</v>
      </c>
      <c r="G23" s="38">
        <f t="shared" si="1"/>
        <v>-2000</v>
      </c>
    </row>
    <row r="24" spans="2:7" x14ac:dyDescent="0.3">
      <c r="B24" s="14"/>
      <c r="C24" s="84" t="s">
        <v>121</v>
      </c>
      <c r="D24" s="3" t="s">
        <v>16</v>
      </c>
      <c r="E24" s="85"/>
      <c r="F24" s="85"/>
      <c r="G24" s="38">
        <f t="shared" si="1"/>
        <v>0</v>
      </c>
    </row>
    <row r="25" spans="2:7" ht="15" thickBot="1" x14ac:dyDescent="0.35">
      <c r="B25" s="92">
        <v>100</v>
      </c>
      <c r="C25" s="93" t="s">
        <v>52</v>
      </c>
      <c r="D25" s="94"/>
      <c r="E25" s="95">
        <f>SUM(E13:E24)</f>
        <v>1797800</v>
      </c>
      <c r="F25" s="95">
        <f>SUM(F13:F24)</f>
        <v>1537947.5</v>
      </c>
      <c r="G25" s="96">
        <f>E25-F25</f>
        <v>259852.5</v>
      </c>
    </row>
    <row r="26" spans="2:7" ht="15" thickBot="1" x14ac:dyDescent="0.35">
      <c r="B26" s="8">
        <v>100</v>
      </c>
      <c r="C26" s="89" t="s">
        <v>120</v>
      </c>
      <c r="D26" s="9" t="s">
        <v>116</v>
      </c>
      <c r="E26" s="77">
        <f>200000+380000+400000+599100+100000</f>
        <v>1679100</v>
      </c>
      <c r="F26" s="77"/>
      <c r="G26" s="42">
        <f t="shared" si="1"/>
        <v>1679100</v>
      </c>
    </row>
    <row r="27" spans="2:7" ht="15" thickBot="1" x14ac:dyDescent="0.35">
      <c r="B27" s="8">
        <v>800</v>
      </c>
      <c r="C27" s="86" t="s">
        <v>121</v>
      </c>
      <c r="D27" s="9" t="s">
        <v>102</v>
      </c>
      <c r="E27" s="87"/>
      <c r="F27" s="87">
        <f>3264+6680+12100+57720</f>
        <v>79764</v>
      </c>
      <c r="G27" s="42">
        <f t="shared" si="1"/>
        <v>-79764</v>
      </c>
    </row>
    <row r="28" spans="2:7" ht="15" thickBot="1" x14ac:dyDescent="0.35">
      <c r="B28" s="8">
        <v>810</v>
      </c>
      <c r="C28" s="86" t="s">
        <v>117</v>
      </c>
      <c r="D28" s="9" t="s">
        <v>9</v>
      </c>
      <c r="E28" s="87"/>
      <c r="F28" s="87">
        <v>749</v>
      </c>
      <c r="G28" s="42">
        <f t="shared" si="1"/>
        <v>-749</v>
      </c>
    </row>
    <row r="29" spans="2:7" ht="15" thickBot="1" x14ac:dyDescent="0.35">
      <c r="B29" s="8">
        <v>820</v>
      </c>
      <c r="C29" s="86" t="s">
        <v>117</v>
      </c>
      <c r="D29" s="9" t="s">
        <v>91</v>
      </c>
      <c r="E29" s="87"/>
      <c r="F29" s="87">
        <v>126</v>
      </c>
      <c r="G29" s="42">
        <f t="shared" si="1"/>
        <v>-126</v>
      </c>
    </row>
    <row r="30" spans="2:7" ht="15" thickBot="1" x14ac:dyDescent="0.35">
      <c r="B30" s="8">
        <v>830</v>
      </c>
      <c r="C30" s="86" t="s">
        <v>117</v>
      </c>
      <c r="D30" s="9" t="s">
        <v>8</v>
      </c>
      <c r="E30" s="87"/>
      <c r="F30" s="87"/>
      <c r="G30" s="42">
        <f t="shared" si="1"/>
        <v>0</v>
      </c>
    </row>
    <row r="31" spans="2:7" ht="15" thickBot="1" x14ac:dyDescent="0.35">
      <c r="B31" s="8">
        <v>840</v>
      </c>
      <c r="C31" s="86" t="s">
        <v>117</v>
      </c>
      <c r="D31" s="9" t="s">
        <v>7</v>
      </c>
      <c r="E31" s="87"/>
      <c r="F31" s="87"/>
      <c r="G31" s="42">
        <f t="shared" si="1"/>
        <v>0</v>
      </c>
    </row>
    <row r="32" spans="2:7" ht="15" thickBot="1" x14ac:dyDescent="0.35">
      <c r="B32" s="8">
        <v>850</v>
      </c>
      <c r="C32" s="86" t="s">
        <v>117</v>
      </c>
      <c r="D32" s="9" t="s">
        <v>6</v>
      </c>
      <c r="E32" s="87"/>
      <c r="F32" s="87"/>
      <c r="G32" s="42">
        <f t="shared" si="1"/>
        <v>0</v>
      </c>
    </row>
    <row r="33" spans="2:7" ht="15" thickBot="1" x14ac:dyDescent="0.35">
      <c r="B33" s="8">
        <v>860</v>
      </c>
      <c r="C33" s="86" t="s">
        <v>117</v>
      </c>
      <c r="D33" s="9" t="s">
        <v>4</v>
      </c>
      <c r="E33" s="87"/>
      <c r="F33" s="87"/>
      <c r="G33" s="42">
        <f t="shared" si="1"/>
        <v>0</v>
      </c>
    </row>
    <row r="34" spans="2:7" ht="15" thickBot="1" x14ac:dyDescent="0.35">
      <c r="D34" s="52"/>
      <c r="E34" s="62"/>
      <c r="F34" s="62"/>
      <c r="G34" s="62"/>
    </row>
    <row r="35" spans="2:7" ht="18.600000000000001" thickBot="1" x14ac:dyDescent="0.4">
      <c r="D35" s="48" t="s">
        <v>48</v>
      </c>
      <c r="E35" s="45">
        <f>SUM(E25:E33)-E26</f>
        <v>1797800</v>
      </c>
      <c r="F35" s="45">
        <f>SUM(F25:F33)</f>
        <v>1618586.5</v>
      </c>
      <c r="G35" s="46">
        <f>E35-F35</f>
        <v>179213.5</v>
      </c>
    </row>
  </sheetData>
  <pageMargins left="0.70866141732283472" right="0.70866141732283472" top="0.39370078740157483" bottom="0.3937007874015748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7D30-0010-426D-A49A-C13B73D738B1}">
  <dimension ref="A1:G35"/>
  <sheetViews>
    <sheetView tabSelected="1" workbookViewId="0">
      <selection activeCell="B36" sqref="B36"/>
    </sheetView>
  </sheetViews>
  <sheetFormatPr defaultRowHeight="14.4" x14ac:dyDescent="0.3"/>
  <cols>
    <col min="1" max="1" width="7.33203125" customWidth="1"/>
    <col min="2" max="2" width="19.109375" customWidth="1"/>
    <col min="3" max="3" width="43.109375" customWidth="1"/>
    <col min="4" max="4" width="38.6640625" bestFit="1" customWidth="1"/>
    <col min="5" max="6" width="13.33203125" bestFit="1" customWidth="1"/>
    <col min="7" max="7" width="12.33203125" bestFit="1" customWidth="1"/>
    <col min="8" max="8" width="13.33203125" bestFit="1" customWidth="1"/>
  </cols>
  <sheetData>
    <row r="1" spans="1:7" x14ac:dyDescent="0.3">
      <c r="A1" s="26" t="s">
        <v>1</v>
      </c>
      <c r="B1" s="27" t="s">
        <v>24</v>
      </c>
      <c r="C1" s="27" t="s">
        <v>3</v>
      </c>
      <c r="D1" s="27" t="s">
        <v>40</v>
      </c>
      <c r="E1" s="27" t="s">
        <v>40</v>
      </c>
      <c r="F1" s="27" t="s">
        <v>44</v>
      </c>
      <c r="G1" s="28" t="s">
        <v>46</v>
      </c>
    </row>
    <row r="2" spans="1:7" ht="15" thickBot="1" x14ac:dyDescent="0.35">
      <c r="A2" s="29" t="s">
        <v>2</v>
      </c>
      <c r="B2" s="30" t="s">
        <v>2</v>
      </c>
      <c r="C2" s="30" t="s">
        <v>2</v>
      </c>
      <c r="D2" s="30" t="s">
        <v>143</v>
      </c>
      <c r="E2" s="30" t="s">
        <v>144</v>
      </c>
      <c r="F2" s="30" t="s">
        <v>145</v>
      </c>
      <c r="G2" s="31" t="s">
        <v>146</v>
      </c>
    </row>
    <row r="3" spans="1:7" ht="15" thickBot="1" x14ac:dyDescent="0.35">
      <c r="A3" s="2"/>
      <c r="B3" s="2"/>
      <c r="C3" s="2"/>
      <c r="D3" s="20" t="s">
        <v>43</v>
      </c>
      <c r="E3" s="20" t="s">
        <v>42</v>
      </c>
      <c r="G3" s="69">
        <f>896255</f>
        <v>896255</v>
      </c>
    </row>
    <row r="4" spans="1:7" ht="15" thickBot="1" x14ac:dyDescent="0.35">
      <c r="A4" s="8" t="s">
        <v>92</v>
      </c>
      <c r="B4" s="81"/>
      <c r="C4" s="9" t="s">
        <v>94</v>
      </c>
      <c r="D4" s="77">
        <f>D35</f>
        <v>1255000</v>
      </c>
      <c r="E4" s="77">
        <f>E35</f>
        <v>1455000</v>
      </c>
      <c r="F4" s="32">
        <f>D4-E4</f>
        <v>-200000</v>
      </c>
      <c r="G4" s="63">
        <f t="shared" ref="G4" si="0">F4</f>
        <v>-200000</v>
      </c>
    </row>
    <row r="5" spans="1:7" ht="15" thickBot="1" x14ac:dyDescent="0.35">
      <c r="A5" s="8" t="s">
        <v>93</v>
      </c>
      <c r="B5" s="81"/>
      <c r="C5" s="9" t="s">
        <v>95</v>
      </c>
      <c r="D5" s="77">
        <f>SUM(D27:D33)</f>
        <v>0</v>
      </c>
      <c r="E5" s="77">
        <f>SUM(E27:E33)</f>
        <v>50000</v>
      </c>
      <c r="F5" s="32">
        <f>D5-E5</f>
        <v>-50000</v>
      </c>
      <c r="G5" s="97"/>
    </row>
    <row r="6" spans="1:7" ht="15" thickBot="1" x14ac:dyDescent="0.35">
      <c r="A6" s="2"/>
      <c r="B6" s="2"/>
      <c r="C6" s="66"/>
      <c r="D6" s="80"/>
      <c r="E6" s="80"/>
      <c r="F6" s="22"/>
      <c r="G6" s="71"/>
    </row>
    <row r="7" spans="1:7" ht="18.600000000000001" thickBot="1" x14ac:dyDescent="0.4">
      <c r="A7" s="2"/>
      <c r="B7" s="2"/>
      <c r="C7" s="48" t="s">
        <v>48</v>
      </c>
      <c r="D7" s="45">
        <f>SUM(D4:D4)</f>
        <v>1255000</v>
      </c>
      <c r="E7" s="45">
        <f>SUM(E4:E4)</f>
        <v>1455000</v>
      </c>
      <c r="F7" s="45">
        <f>D7-E7</f>
        <v>-200000</v>
      </c>
      <c r="G7" s="47">
        <f>SUM(G3:G4)</f>
        <v>696255</v>
      </c>
    </row>
    <row r="8" spans="1:7" x14ac:dyDescent="0.3">
      <c r="A8" s="2"/>
      <c r="B8" s="2"/>
      <c r="C8" s="2"/>
      <c r="G8" s="91" t="s">
        <v>46</v>
      </c>
    </row>
    <row r="9" spans="1:7" ht="15" thickBot="1" x14ac:dyDescent="0.35">
      <c r="A9" s="2"/>
      <c r="B9" s="2"/>
      <c r="C9" s="2" t="s">
        <v>47</v>
      </c>
      <c r="G9" s="90" t="s">
        <v>147</v>
      </c>
    </row>
    <row r="10" spans="1:7" ht="15" thickBot="1" x14ac:dyDescent="0.35">
      <c r="A10" s="2"/>
      <c r="B10" s="2"/>
      <c r="C10" s="2"/>
    </row>
    <row r="11" spans="1:7" x14ac:dyDescent="0.3">
      <c r="A11" s="26" t="s">
        <v>1</v>
      </c>
      <c r="B11" s="27" t="s">
        <v>24</v>
      </c>
      <c r="C11" s="27" t="s">
        <v>3</v>
      </c>
      <c r="D11" s="27" t="s">
        <v>40</v>
      </c>
      <c r="E11" s="27" t="s">
        <v>40</v>
      </c>
      <c r="F11" s="28" t="s">
        <v>44</v>
      </c>
      <c r="G11" t="s">
        <v>47</v>
      </c>
    </row>
    <row r="12" spans="1:7" ht="15" thickBot="1" x14ac:dyDescent="0.35">
      <c r="A12" s="29" t="s">
        <v>2</v>
      </c>
      <c r="B12" s="30" t="s">
        <v>2</v>
      </c>
      <c r="C12" s="30" t="s">
        <v>2</v>
      </c>
      <c r="D12" s="30" t="s">
        <v>143</v>
      </c>
      <c r="E12" s="30" t="s">
        <v>144</v>
      </c>
      <c r="F12" s="31" t="s">
        <v>145</v>
      </c>
    </row>
    <row r="13" spans="1:7" x14ac:dyDescent="0.3">
      <c r="A13" s="11">
        <v>100</v>
      </c>
      <c r="B13" s="82" t="s">
        <v>121</v>
      </c>
      <c r="C13" s="12" t="s">
        <v>10</v>
      </c>
      <c r="D13" s="83"/>
      <c r="E13" s="83">
        <v>240000</v>
      </c>
      <c r="F13" s="37">
        <f t="shared" ref="F13:F33" si="1">D13-E13</f>
        <v>-240000</v>
      </c>
    </row>
    <row r="14" spans="1:7" x14ac:dyDescent="0.3">
      <c r="A14" s="14"/>
      <c r="B14" s="84" t="s">
        <v>148</v>
      </c>
      <c r="C14" s="3" t="s">
        <v>12</v>
      </c>
      <c r="D14" s="85"/>
      <c r="E14" s="85">
        <v>70000</v>
      </c>
      <c r="F14" s="38">
        <f t="shared" si="1"/>
        <v>-70000</v>
      </c>
    </row>
    <row r="15" spans="1:7" x14ac:dyDescent="0.3">
      <c r="A15" s="14"/>
      <c r="B15" s="84" t="s">
        <v>149</v>
      </c>
      <c r="C15" s="3" t="s">
        <v>13</v>
      </c>
      <c r="D15" s="85"/>
      <c r="E15" s="85">
        <v>50000</v>
      </c>
      <c r="F15" s="38">
        <f t="shared" si="1"/>
        <v>-50000</v>
      </c>
    </row>
    <row r="16" spans="1:7" x14ac:dyDescent="0.3">
      <c r="A16" s="14"/>
      <c r="B16" s="84" t="s">
        <v>150</v>
      </c>
      <c r="C16" s="3" t="s">
        <v>18</v>
      </c>
      <c r="D16" s="85"/>
      <c r="E16" s="85"/>
      <c r="F16" s="38">
        <f t="shared" si="1"/>
        <v>0</v>
      </c>
    </row>
    <row r="17" spans="1:6" x14ac:dyDescent="0.3">
      <c r="A17" s="14"/>
      <c r="B17" s="84" t="s">
        <v>122</v>
      </c>
      <c r="C17" s="3" t="s">
        <v>107</v>
      </c>
      <c r="D17" s="85"/>
      <c r="E17" s="85">
        <v>350000</v>
      </c>
      <c r="F17" s="38">
        <f t="shared" si="1"/>
        <v>-350000</v>
      </c>
    </row>
    <row r="18" spans="1:6" x14ac:dyDescent="0.3">
      <c r="A18" s="14"/>
      <c r="B18" s="84" t="s">
        <v>123</v>
      </c>
      <c r="C18" s="3" t="s">
        <v>108</v>
      </c>
      <c r="D18" s="85"/>
      <c r="E18" s="85">
        <v>160000</v>
      </c>
      <c r="F18" s="38">
        <f t="shared" si="1"/>
        <v>-160000</v>
      </c>
    </row>
    <row r="19" spans="1:6" x14ac:dyDescent="0.3">
      <c r="A19" s="14"/>
      <c r="B19" s="84" t="s">
        <v>123</v>
      </c>
      <c r="C19" s="3" t="s">
        <v>109</v>
      </c>
      <c r="D19" s="85"/>
      <c r="E19" s="85">
        <v>160000</v>
      </c>
      <c r="F19" s="38">
        <f t="shared" si="1"/>
        <v>-160000</v>
      </c>
    </row>
    <row r="20" spans="1:6" x14ac:dyDescent="0.3">
      <c r="A20" s="14"/>
      <c r="B20" s="84" t="s">
        <v>124</v>
      </c>
      <c r="C20" s="3" t="s">
        <v>80</v>
      </c>
      <c r="D20" s="85"/>
      <c r="E20" s="85">
        <v>155000</v>
      </c>
      <c r="F20" s="38">
        <f t="shared" si="1"/>
        <v>-155000</v>
      </c>
    </row>
    <row r="21" spans="1:6" x14ac:dyDescent="0.3">
      <c r="A21" s="14"/>
      <c r="B21" s="84" t="s">
        <v>125</v>
      </c>
      <c r="C21" s="3" t="s">
        <v>110</v>
      </c>
      <c r="D21" s="85"/>
      <c r="E21" s="85">
        <v>20000</v>
      </c>
      <c r="F21" s="38">
        <f t="shared" si="1"/>
        <v>-20000</v>
      </c>
    </row>
    <row r="22" spans="1:6" x14ac:dyDescent="0.3">
      <c r="A22" s="14"/>
      <c r="B22" s="84" t="s">
        <v>151</v>
      </c>
      <c r="C22" s="3" t="s">
        <v>86</v>
      </c>
      <c r="D22" s="85"/>
      <c r="E22" s="85">
        <v>200000</v>
      </c>
      <c r="F22" s="38">
        <f t="shared" si="1"/>
        <v>-200000</v>
      </c>
    </row>
    <row r="23" spans="1:6" x14ac:dyDescent="0.3">
      <c r="A23" s="14"/>
      <c r="B23" s="84" t="s">
        <v>151</v>
      </c>
      <c r="C23" s="3" t="s">
        <v>98</v>
      </c>
      <c r="D23" s="85"/>
      <c r="E23" s="85"/>
      <c r="F23" s="38">
        <f t="shared" si="1"/>
        <v>0</v>
      </c>
    </row>
    <row r="24" spans="1:6" x14ac:dyDescent="0.3">
      <c r="A24" s="14"/>
      <c r="B24" s="84" t="s">
        <v>121</v>
      </c>
      <c r="C24" s="3" t="s">
        <v>16</v>
      </c>
      <c r="D24" s="85"/>
      <c r="E24" s="85"/>
      <c r="F24" s="38">
        <f t="shared" si="1"/>
        <v>0</v>
      </c>
    </row>
    <row r="25" spans="1:6" ht="15" thickBot="1" x14ac:dyDescent="0.35">
      <c r="A25" s="92">
        <v>100</v>
      </c>
      <c r="B25" s="93" t="s">
        <v>52</v>
      </c>
      <c r="C25" s="94"/>
      <c r="D25" s="95">
        <f>SUM(D13:D24)</f>
        <v>0</v>
      </c>
      <c r="E25" s="95">
        <f>SUM(E13:E24)</f>
        <v>1405000</v>
      </c>
      <c r="F25" s="96">
        <f>D25-E25</f>
        <v>-1405000</v>
      </c>
    </row>
    <row r="26" spans="1:6" ht="15" thickBot="1" x14ac:dyDescent="0.35">
      <c r="A26" s="8">
        <v>110</v>
      </c>
      <c r="B26" s="89" t="s">
        <v>152</v>
      </c>
      <c r="C26" s="9" t="s">
        <v>116</v>
      </c>
      <c r="D26" s="77">
        <f>450000+200000+80000+265000+260000</f>
        <v>1255000</v>
      </c>
      <c r="E26" s="77"/>
      <c r="F26" s="42">
        <f t="shared" si="1"/>
        <v>1255000</v>
      </c>
    </row>
    <row r="27" spans="1:6" ht="15" thickBot="1" x14ac:dyDescent="0.35">
      <c r="A27" s="8">
        <v>800</v>
      </c>
      <c r="B27" s="86" t="s">
        <v>153</v>
      </c>
      <c r="C27" s="9" t="s">
        <v>102</v>
      </c>
      <c r="D27" s="87"/>
      <c r="E27" s="87">
        <v>50000</v>
      </c>
      <c r="F27" s="42">
        <f t="shared" si="1"/>
        <v>-50000</v>
      </c>
    </row>
    <row r="28" spans="1:6" ht="15" thickBot="1" x14ac:dyDescent="0.35">
      <c r="A28" s="8">
        <v>810</v>
      </c>
      <c r="B28" s="86" t="s">
        <v>153</v>
      </c>
      <c r="C28" s="9" t="s">
        <v>9</v>
      </c>
      <c r="D28" s="87"/>
      <c r="E28" s="87"/>
      <c r="F28" s="42">
        <f t="shared" si="1"/>
        <v>0</v>
      </c>
    </row>
    <row r="29" spans="1:6" ht="15" thickBot="1" x14ac:dyDescent="0.35">
      <c r="A29" s="8">
        <v>820</v>
      </c>
      <c r="B29" s="86" t="s">
        <v>153</v>
      </c>
      <c r="C29" s="9" t="s">
        <v>91</v>
      </c>
      <c r="D29" s="87"/>
      <c r="E29" s="87"/>
      <c r="F29" s="42">
        <f t="shared" si="1"/>
        <v>0</v>
      </c>
    </row>
    <row r="30" spans="1:6" ht="15" thickBot="1" x14ac:dyDescent="0.35">
      <c r="A30" s="8">
        <v>830</v>
      </c>
      <c r="B30" s="86" t="s">
        <v>153</v>
      </c>
      <c r="C30" s="9" t="s">
        <v>8</v>
      </c>
      <c r="D30" s="87"/>
      <c r="E30" s="87"/>
      <c r="F30" s="42">
        <f t="shared" si="1"/>
        <v>0</v>
      </c>
    </row>
    <row r="31" spans="1:6" ht="15" thickBot="1" x14ac:dyDescent="0.35">
      <c r="A31" s="8">
        <v>840</v>
      </c>
      <c r="B31" s="86" t="s">
        <v>153</v>
      </c>
      <c r="C31" s="9" t="s">
        <v>7</v>
      </c>
      <c r="D31" s="87"/>
      <c r="E31" s="87"/>
      <c r="F31" s="42">
        <f t="shared" si="1"/>
        <v>0</v>
      </c>
    </row>
    <row r="32" spans="1:6" ht="15" thickBot="1" x14ac:dyDescent="0.35">
      <c r="A32" s="8">
        <v>850</v>
      </c>
      <c r="B32" s="86" t="s">
        <v>153</v>
      </c>
      <c r="C32" s="9" t="s">
        <v>6</v>
      </c>
      <c r="D32" s="87"/>
      <c r="E32" s="87"/>
      <c r="F32" s="42">
        <f t="shared" si="1"/>
        <v>0</v>
      </c>
    </row>
    <row r="33" spans="1:6" ht="15" thickBot="1" x14ac:dyDescent="0.35">
      <c r="A33" s="8">
        <v>860</v>
      </c>
      <c r="B33" s="86" t="s">
        <v>153</v>
      </c>
      <c r="C33" s="9" t="s">
        <v>4</v>
      </c>
      <c r="D33" s="87"/>
      <c r="E33" s="87"/>
      <c r="F33" s="42">
        <f t="shared" si="1"/>
        <v>0</v>
      </c>
    </row>
    <row r="34" spans="1:6" ht="15" thickBot="1" x14ac:dyDescent="0.35">
      <c r="C34" s="52"/>
      <c r="D34" s="62"/>
      <c r="E34" s="62"/>
      <c r="F34" s="62"/>
    </row>
    <row r="35" spans="1:6" ht="18.600000000000001" thickBot="1" x14ac:dyDescent="0.4">
      <c r="C35" s="48" t="s">
        <v>48</v>
      </c>
      <c r="D35" s="45">
        <f>SUM(D25:D33)</f>
        <v>1255000</v>
      </c>
      <c r="E35" s="45">
        <f>SUM(E25:E33)</f>
        <v>1455000</v>
      </c>
      <c r="F35" s="46">
        <f>D35-E35</f>
        <v>-200000</v>
      </c>
    </row>
  </sheetData>
  <pageMargins left="0.70866141732283472" right="0.70866141732283472" top="0.39370078740157483" bottom="0.3937007874015748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D70F6-8F58-4634-BA49-0F24B3125B27}">
  <dimension ref="A2:F30"/>
  <sheetViews>
    <sheetView workbookViewId="0">
      <selection activeCell="C35" sqref="C35"/>
    </sheetView>
  </sheetViews>
  <sheetFormatPr defaultRowHeight="14.4" x14ac:dyDescent="0.3"/>
  <cols>
    <col min="1" max="1" width="11.21875" customWidth="1"/>
    <col min="2" max="2" width="9.33203125" customWidth="1"/>
    <col min="3" max="3" width="45.33203125" bestFit="1" customWidth="1"/>
    <col min="4" max="4" width="12.109375" bestFit="1" customWidth="1"/>
  </cols>
  <sheetData>
    <row r="2" spans="1:6" ht="18" x14ac:dyDescent="0.35">
      <c r="A2" s="1" t="s">
        <v>127</v>
      </c>
      <c r="B2" s="1"/>
    </row>
    <row r="3" spans="1:6" ht="15" thickBot="1" x14ac:dyDescent="0.35"/>
    <row r="4" spans="1:6" x14ac:dyDescent="0.3">
      <c r="A4" s="4" t="s">
        <v>1</v>
      </c>
      <c r="B4" s="4" t="s">
        <v>130</v>
      </c>
      <c r="C4" s="4" t="s">
        <v>3</v>
      </c>
      <c r="D4" s="5" t="s">
        <v>22</v>
      </c>
      <c r="F4" s="19" t="s">
        <v>10</v>
      </c>
    </row>
    <row r="5" spans="1:6" ht="15" thickBot="1" x14ac:dyDescent="0.35">
      <c r="A5" s="6" t="s">
        <v>2</v>
      </c>
      <c r="B5" s="6" t="s">
        <v>131</v>
      </c>
      <c r="C5" s="6" t="s">
        <v>2</v>
      </c>
      <c r="D5" s="7" t="s">
        <v>126</v>
      </c>
      <c r="F5" t="s">
        <v>28</v>
      </c>
    </row>
    <row r="6" spans="1:6" ht="15" thickBot="1" x14ac:dyDescent="0.35">
      <c r="A6" s="2"/>
      <c r="B6" s="2"/>
      <c r="C6" s="2"/>
      <c r="F6" t="s">
        <v>29</v>
      </c>
    </row>
    <row r="7" spans="1:6" ht="15" thickBot="1" x14ac:dyDescent="0.35">
      <c r="A7" s="8">
        <v>100</v>
      </c>
      <c r="B7" s="81"/>
      <c r="C7" s="9" t="s">
        <v>2</v>
      </c>
      <c r="D7" s="10"/>
      <c r="F7" t="s">
        <v>30</v>
      </c>
    </row>
    <row r="8" spans="1:6" ht="15" thickBot="1" x14ac:dyDescent="0.35">
      <c r="A8" s="2"/>
      <c r="B8" s="2"/>
      <c r="C8" s="2"/>
      <c r="F8" t="s">
        <v>31</v>
      </c>
    </row>
    <row r="9" spans="1:6" x14ac:dyDescent="0.3">
      <c r="A9" s="11">
        <v>860</v>
      </c>
      <c r="B9" s="98"/>
      <c r="C9" s="12" t="s">
        <v>4</v>
      </c>
      <c r="D9" s="13"/>
    </row>
    <row r="10" spans="1:6" x14ac:dyDescent="0.3">
      <c r="A10" s="14">
        <v>820</v>
      </c>
      <c r="B10" s="99"/>
      <c r="C10" s="3" t="s">
        <v>5</v>
      </c>
      <c r="D10" s="15"/>
      <c r="F10" s="19" t="s">
        <v>12</v>
      </c>
    </row>
    <row r="11" spans="1:6" x14ac:dyDescent="0.3">
      <c r="A11" s="14">
        <v>850</v>
      </c>
      <c r="B11" s="99"/>
      <c r="C11" s="3" t="s">
        <v>6</v>
      </c>
      <c r="D11" s="15"/>
      <c r="F11" t="s">
        <v>32</v>
      </c>
    </row>
    <row r="12" spans="1:6" x14ac:dyDescent="0.3">
      <c r="A12" s="14">
        <v>840</v>
      </c>
      <c r="B12" s="99"/>
      <c r="C12" s="3" t="s">
        <v>7</v>
      </c>
      <c r="D12" s="15"/>
      <c r="F12" t="s">
        <v>33</v>
      </c>
    </row>
    <row r="13" spans="1:6" x14ac:dyDescent="0.3">
      <c r="A13" s="14">
        <v>830</v>
      </c>
      <c r="B13" s="99"/>
      <c r="C13" s="3" t="s">
        <v>8</v>
      </c>
      <c r="D13" s="15"/>
    </row>
    <row r="14" spans="1:6" ht="15" thickBot="1" x14ac:dyDescent="0.35">
      <c r="A14" s="16">
        <v>810</v>
      </c>
      <c r="B14" s="100"/>
      <c r="C14" s="17" t="s">
        <v>9</v>
      </c>
      <c r="D14" s="18"/>
      <c r="F14" s="19" t="s">
        <v>13</v>
      </c>
    </row>
    <row r="15" spans="1:6" ht="15" thickBot="1" x14ac:dyDescent="0.35">
      <c r="A15" s="2"/>
      <c r="B15" s="2"/>
      <c r="C15" s="2"/>
      <c r="F15" t="s">
        <v>34</v>
      </c>
    </row>
    <row r="16" spans="1:6" x14ac:dyDescent="0.3">
      <c r="A16" s="4" t="s">
        <v>24</v>
      </c>
      <c r="B16" s="4" t="s">
        <v>130</v>
      </c>
      <c r="C16" s="4" t="s">
        <v>25</v>
      </c>
      <c r="D16" s="5" t="s">
        <v>22</v>
      </c>
      <c r="F16" t="s">
        <v>35</v>
      </c>
    </row>
    <row r="17" spans="1:6" ht="15" thickBot="1" x14ac:dyDescent="0.35">
      <c r="A17" s="6" t="s">
        <v>2</v>
      </c>
      <c r="B17" s="6" t="s">
        <v>131</v>
      </c>
      <c r="C17" s="6" t="s">
        <v>2</v>
      </c>
      <c r="D17" s="7" t="s">
        <v>126</v>
      </c>
    </row>
    <row r="18" spans="1:6" x14ac:dyDescent="0.3">
      <c r="A18" s="11">
        <v>1902.1905999999999</v>
      </c>
      <c r="B18" s="98" t="s">
        <v>132</v>
      </c>
      <c r="C18" s="12" t="s">
        <v>10</v>
      </c>
      <c r="D18" s="13"/>
      <c r="F18" s="19" t="s">
        <v>18</v>
      </c>
    </row>
    <row r="19" spans="1:6" x14ac:dyDescent="0.3">
      <c r="A19" s="14">
        <v>1902.1905999999999</v>
      </c>
      <c r="B19" s="99" t="s">
        <v>133</v>
      </c>
      <c r="C19" s="3" t="s">
        <v>11</v>
      </c>
      <c r="D19" s="15"/>
      <c r="F19" t="s">
        <v>36</v>
      </c>
    </row>
    <row r="20" spans="1:6" x14ac:dyDescent="0.3">
      <c r="A20" s="14">
        <v>1902.1905999999999</v>
      </c>
      <c r="B20" s="99" t="s">
        <v>134</v>
      </c>
      <c r="C20" s="3" t="s">
        <v>12</v>
      </c>
      <c r="D20" s="15"/>
      <c r="F20" t="s">
        <v>37</v>
      </c>
    </row>
    <row r="21" spans="1:6" x14ac:dyDescent="0.3">
      <c r="A21" s="14">
        <v>1902.1905999999999</v>
      </c>
      <c r="B21" s="99" t="s">
        <v>135</v>
      </c>
      <c r="C21" s="3" t="s">
        <v>13</v>
      </c>
      <c r="D21" s="15"/>
    </row>
    <row r="22" spans="1:6" x14ac:dyDescent="0.3">
      <c r="A22" s="14">
        <v>1902.1905999999999</v>
      </c>
      <c r="B22" s="99"/>
      <c r="C22" s="3" t="s">
        <v>15</v>
      </c>
      <c r="D22" s="15"/>
      <c r="F22" s="19" t="s">
        <v>19</v>
      </c>
    </row>
    <row r="23" spans="1:6" x14ac:dyDescent="0.3">
      <c r="A23" s="14">
        <v>1902.1905999999999</v>
      </c>
      <c r="B23" s="99" t="s">
        <v>138</v>
      </c>
      <c r="C23" s="3" t="s">
        <v>14</v>
      </c>
      <c r="D23" s="15"/>
      <c r="F23" t="s">
        <v>38</v>
      </c>
    </row>
    <row r="24" spans="1:6" x14ac:dyDescent="0.3">
      <c r="A24" s="14"/>
      <c r="B24" s="99"/>
      <c r="C24" s="3" t="s">
        <v>16</v>
      </c>
      <c r="D24" s="15"/>
    </row>
    <row r="25" spans="1:6" x14ac:dyDescent="0.3">
      <c r="A25" s="14">
        <v>1902.1905999999999</v>
      </c>
      <c r="B25" s="99" t="s">
        <v>136</v>
      </c>
      <c r="C25" s="3" t="s">
        <v>110</v>
      </c>
      <c r="D25" s="15"/>
      <c r="F25" s="19" t="s">
        <v>20</v>
      </c>
    </row>
    <row r="26" spans="1:6" x14ac:dyDescent="0.3">
      <c r="A26" s="14">
        <v>1906</v>
      </c>
      <c r="B26" s="99" t="s">
        <v>137</v>
      </c>
      <c r="C26" s="3" t="s">
        <v>18</v>
      </c>
      <c r="D26" s="15"/>
      <c r="F26" t="s">
        <v>39</v>
      </c>
    </row>
    <row r="27" spans="1:6" ht="28.8" x14ac:dyDescent="0.3">
      <c r="A27" s="101" t="s">
        <v>128</v>
      </c>
      <c r="B27" s="99" t="s">
        <v>140</v>
      </c>
      <c r="C27" s="3" t="s">
        <v>107</v>
      </c>
      <c r="D27" s="15"/>
    </row>
    <row r="28" spans="1:6" x14ac:dyDescent="0.3">
      <c r="A28" s="14">
        <v>1907</v>
      </c>
      <c r="B28" s="99" t="s">
        <v>139</v>
      </c>
      <c r="C28" s="3" t="s">
        <v>108</v>
      </c>
      <c r="D28" s="15"/>
    </row>
    <row r="29" spans="1:6" x14ac:dyDescent="0.3">
      <c r="A29" s="14">
        <v>1907</v>
      </c>
      <c r="B29" s="99" t="s">
        <v>141</v>
      </c>
      <c r="C29" s="3" t="s">
        <v>109</v>
      </c>
      <c r="D29" s="15"/>
    </row>
    <row r="30" spans="1:6" ht="29.4" thickBot="1" x14ac:dyDescent="0.35">
      <c r="A30" s="101" t="s">
        <v>129</v>
      </c>
      <c r="B30" s="100" t="s">
        <v>142</v>
      </c>
      <c r="C30" s="17" t="s">
        <v>21</v>
      </c>
      <c r="D30" s="18"/>
    </row>
  </sheetData>
  <pageMargins left="0" right="0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30"/>
  <sheetViews>
    <sheetView workbookViewId="0">
      <selection activeCell="A11" sqref="A11:A14"/>
    </sheetView>
  </sheetViews>
  <sheetFormatPr defaultRowHeight="14.4" x14ac:dyDescent="0.3"/>
  <cols>
    <col min="1" max="1" width="9.33203125" customWidth="1"/>
    <col min="2" max="2" width="45.33203125" bestFit="1" customWidth="1"/>
    <col min="3" max="3" width="12.109375" bestFit="1" customWidth="1"/>
  </cols>
  <sheetData>
    <row r="2" spans="1:5" ht="18" x14ac:dyDescent="0.35">
      <c r="A2" s="1" t="s">
        <v>0</v>
      </c>
    </row>
    <row r="3" spans="1:5" ht="15" thickBot="1" x14ac:dyDescent="0.35"/>
    <row r="4" spans="1:5" x14ac:dyDescent="0.3">
      <c r="A4" s="4" t="s">
        <v>1</v>
      </c>
      <c r="B4" s="4" t="s">
        <v>3</v>
      </c>
      <c r="C4" s="5" t="s">
        <v>22</v>
      </c>
      <c r="E4" s="19" t="s">
        <v>10</v>
      </c>
    </row>
    <row r="5" spans="1:5" ht="15" thickBot="1" x14ac:dyDescent="0.35">
      <c r="A5" s="6" t="s">
        <v>2</v>
      </c>
      <c r="B5" s="6" t="s">
        <v>2</v>
      </c>
      <c r="C5" s="7" t="s">
        <v>23</v>
      </c>
      <c r="E5" t="s">
        <v>28</v>
      </c>
    </row>
    <row r="6" spans="1:5" ht="15" thickBot="1" x14ac:dyDescent="0.35">
      <c r="A6" s="2"/>
      <c r="B6" s="2"/>
      <c r="E6" t="s">
        <v>29</v>
      </c>
    </row>
    <row r="7" spans="1:5" ht="15" thickBot="1" x14ac:dyDescent="0.35">
      <c r="A7" s="8">
        <v>40</v>
      </c>
      <c r="B7" s="9" t="s">
        <v>2</v>
      </c>
      <c r="C7" s="10"/>
      <c r="E7" t="s">
        <v>30</v>
      </c>
    </row>
    <row r="8" spans="1:5" ht="15" thickBot="1" x14ac:dyDescent="0.35">
      <c r="A8" s="2"/>
      <c r="B8" s="2"/>
      <c r="E8" t="s">
        <v>31</v>
      </c>
    </row>
    <row r="9" spans="1:5" x14ac:dyDescent="0.3">
      <c r="A9" s="11">
        <v>41</v>
      </c>
      <c r="B9" s="12" t="s">
        <v>4</v>
      </c>
      <c r="C9" s="13"/>
    </row>
    <row r="10" spans="1:5" x14ac:dyDescent="0.3">
      <c r="A10" s="14">
        <v>42</v>
      </c>
      <c r="B10" s="3" t="s">
        <v>5</v>
      </c>
      <c r="C10" s="15"/>
      <c r="E10" s="19" t="s">
        <v>12</v>
      </c>
    </row>
    <row r="11" spans="1:5" x14ac:dyDescent="0.3">
      <c r="A11" s="14">
        <v>43</v>
      </c>
      <c r="B11" s="3" t="s">
        <v>6</v>
      </c>
      <c r="C11" s="15"/>
      <c r="E11" t="s">
        <v>32</v>
      </c>
    </row>
    <row r="12" spans="1:5" x14ac:dyDescent="0.3">
      <c r="A12" s="14">
        <v>43</v>
      </c>
      <c r="B12" s="3" t="s">
        <v>7</v>
      </c>
      <c r="C12" s="15"/>
      <c r="E12" t="s">
        <v>33</v>
      </c>
    </row>
    <row r="13" spans="1:5" x14ac:dyDescent="0.3">
      <c r="A13" s="14">
        <v>43</v>
      </c>
      <c r="B13" s="3" t="s">
        <v>8</v>
      </c>
      <c r="C13" s="15"/>
    </row>
    <row r="14" spans="1:5" ht="15" thickBot="1" x14ac:dyDescent="0.35">
      <c r="A14" s="14">
        <v>43</v>
      </c>
      <c r="B14" s="17" t="s">
        <v>9</v>
      </c>
      <c r="C14" s="18"/>
      <c r="E14" s="19" t="s">
        <v>13</v>
      </c>
    </row>
    <row r="15" spans="1:5" ht="15" thickBot="1" x14ac:dyDescent="0.35">
      <c r="A15" s="2"/>
      <c r="B15" s="2"/>
      <c r="E15" t="s">
        <v>34</v>
      </c>
    </row>
    <row r="16" spans="1:5" x14ac:dyDescent="0.3">
      <c r="A16" s="4" t="s">
        <v>24</v>
      </c>
      <c r="B16" s="4" t="s">
        <v>25</v>
      </c>
      <c r="C16" s="5" t="s">
        <v>22</v>
      </c>
      <c r="E16" t="s">
        <v>35</v>
      </c>
    </row>
    <row r="17" spans="1:5" ht="15" thickBot="1" x14ac:dyDescent="0.35">
      <c r="A17" s="6" t="s">
        <v>2</v>
      </c>
      <c r="B17" s="6" t="s">
        <v>2</v>
      </c>
      <c r="C17" s="7" t="s">
        <v>23</v>
      </c>
    </row>
    <row r="18" spans="1:5" x14ac:dyDescent="0.3">
      <c r="A18" s="11">
        <v>50</v>
      </c>
      <c r="B18" s="12" t="s">
        <v>10</v>
      </c>
      <c r="C18" s="13"/>
      <c r="E18" s="19" t="s">
        <v>18</v>
      </c>
    </row>
    <row r="19" spans="1:5" x14ac:dyDescent="0.3">
      <c r="A19" s="14">
        <v>51</v>
      </c>
      <c r="B19" s="3" t="s">
        <v>11</v>
      </c>
      <c r="C19" s="15"/>
      <c r="E19" t="s">
        <v>36</v>
      </c>
    </row>
    <row r="20" spans="1:5" x14ac:dyDescent="0.3">
      <c r="A20" s="14">
        <v>52</v>
      </c>
      <c r="B20" s="3" t="s">
        <v>12</v>
      </c>
      <c r="C20" s="15"/>
      <c r="E20" t="s">
        <v>37</v>
      </c>
    </row>
    <row r="21" spans="1:5" x14ac:dyDescent="0.3">
      <c r="A21" s="14">
        <v>53</v>
      </c>
      <c r="B21" s="3" t="s">
        <v>13</v>
      </c>
      <c r="C21" s="15"/>
    </row>
    <row r="22" spans="1:5" x14ac:dyDescent="0.3">
      <c r="A22" s="14">
        <v>54</v>
      </c>
      <c r="B22" s="3" t="s">
        <v>15</v>
      </c>
      <c r="C22" s="15"/>
      <c r="E22" s="19" t="s">
        <v>19</v>
      </c>
    </row>
    <row r="23" spans="1:5" x14ac:dyDescent="0.3">
      <c r="A23" s="14">
        <v>55</v>
      </c>
      <c r="B23" s="3" t="s">
        <v>14</v>
      </c>
      <c r="C23" s="15"/>
      <c r="E23" t="s">
        <v>38</v>
      </c>
    </row>
    <row r="24" spans="1:5" x14ac:dyDescent="0.3">
      <c r="A24" s="14">
        <v>56</v>
      </c>
      <c r="B24" s="3" t="s">
        <v>16</v>
      </c>
      <c r="C24" s="15"/>
    </row>
    <row r="25" spans="1:5" x14ac:dyDescent="0.3">
      <c r="A25" s="14">
        <v>57</v>
      </c>
      <c r="B25" s="3" t="s">
        <v>110</v>
      </c>
      <c r="C25" s="15"/>
      <c r="E25" s="19" t="s">
        <v>20</v>
      </c>
    </row>
    <row r="26" spans="1:5" x14ac:dyDescent="0.3">
      <c r="A26" s="14">
        <v>58</v>
      </c>
      <c r="B26" s="3" t="s">
        <v>18</v>
      </c>
      <c r="C26" s="15"/>
      <c r="E26" t="s">
        <v>39</v>
      </c>
    </row>
    <row r="27" spans="1:5" x14ac:dyDescent="0.3">
      <c r="A27" s="14">
        <v>59</v>
      </c>
      <c r="B27" s="3" t="s">
        <v>107</v>
      </c>
      <c r="C27" s="15"/>
    </row>
    <row r="28" spans="1:5" x14ac:dyDescent="0.3">
      <c r="A28" s="14">
        <v>61</v>
      </c>
      <c r="B28" s="3" t="s">
        <v>108</v>
      </c>
      <c r="C28" s="15"/>
    </row>
    <row r="29" spans="1:5" x14ac:dyDescent="0.3">
      <c r="A29" s="14">
        <v>62</v>
      </c>
      <c r="B29" s="3" t="s">
        <v>109</v>
      </c>
      <c r="C29" s="15"/>
    </row>
    <row r="30" spans="1:5" ht="15" thickBot="1" x14ac:dyDescent="0.35">
      <c r="A30" s="16">
        <v>63</v>
      </c>
      <c r="B30" s="17" t="s">
        <v>21</v>
      </c>
      <c r="C30" s="18"/>
    </row>
  </sheetData>
  <pageMargins left="0" right="0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Info rozdělení od 2019</vt:lpstr>
      <vt:lpstr>Info rozdělení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Volejbal</cp:lastModifiedBy>
  <cp:lastPrinted>2021-02-04T11:55:15Z</cp:lastPrinted>
  <dcterms:created xsi:type="dcterms:W3CDTF">2015-02-12T12:47:18Z</dcterms:created>
  <dcterms:modified xsi:type="dcterms:W3CDTF">2021-05-12T17:26:44Z</dcterms:modified>
</cp:coreProperties>
</file>